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Server\рабочая документация\Экономист\РЭК 2026-2030 тариф\Документы к заявке\"/>
    </mc:Choice>
  </mc:AlternateContent>
  <xr:revisionPtr revIDLastSave="0" documentId="8_{7A753AE2-8E87-4A13-B201-88CD3AF3375C}" xr6:coauthVersionLast="47" xr6:coauthVersionMax="47" xr10:uidLastSave="{00000000-0000-0000-0000-000000000000}"/>
  <bookViews>
    <workbookView xWindow="-120" yWindow="-120" windowWidth="29040" windowHeight="15840" tabRatio="812" firstSheet="3" activeTab="7" xr2:uid="{00000000-000D-0000-FFFF-FFFF00000000}"/>
  </bookViews>
  <sheets>
    <sheet name="Информация" sheetId="1" state="hidden" r:id="rId1"/>
    <sheet name="Настройка" sheetId="2" state="hidden" r:id="rId2"/>
    <sheet name="TEHSHEET" sheetId="4" state="hidden" r:id="rId3"/>
    <sheet name="Титульный" sheetId="5" r:id="rId4"/>
    <sheet name="Список листов" sheetId="6" state="hidden" r:id="rId5"/>
    <sheet name="История изменений ВО" sheetId="7" state="hidden" r:id="rId6"/>
    <sheet name="Данные регулятора" sheetId="8" state="hidden" r:id="rId7"/>
    <sheet name="Форма раскрытия информации" sheetId="10" r:id="rId8"/>
    <sheet name="Регионы для 5 прил" sheetId="14" state="hidden" r:id="rId9"/>
    <sheet name="баз. ур. подк. расх." sheetId="16" state="hidden" r:id="rId10"/>
    <sheet name="Расчет НВВ_6.42" sheetId="28" state="hidden" r:id="rId11"/>
    <sheet name="Расчет НВВ_74" sheetId="29" state="hidden" r:id="rId12"/>
    <sheet name="ЭЗ ДПР c уч.421" sheetId="30" state="hidden" r:id="rId13"/>
    <sheet name="ЭЗ ДПР кор" sheetId="31" state="hidden" r:id="rId14"/>
    <sheet name="ЭЗ ДПР c уч.421 ДЕМО" sheetId="32" state="hidden" r:id="rId15"/>
    <sheet name="ЭЗ ДПР кор ДЕМО" sheetId="33" state="hidden" r:id="rId16"/>
    <sheet name="ФОТ норматив скрыть " sheetId="44" state="hidden" r:id="rId17"/>
    <sheet name="tech" sheetId="57" state="hidden" r:id="rId18"/>
    <sheet name="прил 1_215-Э" sheetId="61" state="hidden" r:id="rId19"/>
    <sheet name="прил 3_215-Э" sheetId="62" state="hidden" r:id="rId20"/>
    <sheet name="НВВ РСК" sheetId="66" state="hidden" r:id="rId21"/>
    <sheet name="PEREDACHA.XX.FACT.EXPENSES" sheetId="67" state="hidden" r:id="rId22"/>
    <sheet name="PEREDACHA.M.ХХ Индекс" sheetId="68" state="hidden" r:id="rId23"/>
    <sheet name="Check" sheetId="78" state="hidden" r:id="rId24"/>
    <sheet name="REESTR_ORG" sheetId="79" state="hidden" r:id="rId25"/>
    <sheet name="PATTERN_COSTS" sheetId="80" state="hidden" r:id="rId26"/>
    <sheet name="ATTACH_DOC" sheetId="81" state="hidden" r:id="rId27"/>
  </sheets>
  <definedNames>
    <definedName name="ADD_1_wsCalcNVV">#REF!</definedName>
    <definedName name="ADD_1_wsComs">#REF!</definedName>
    <definedName name="ADD_1_wsDataReg">'Данные регулятора'!$AC$31:$AC$32</definedName>
    <definedName name="ADD_1_wsDocs">#REF!</definedName>
    <definedName name="ADD_1_wsEE">#REF!</definedName>
    <definedName name="ADD_1_wsFactLosses">#REF!</definedName>
    <definedName name="ADD_1_wsForma31">#REF!</definedName>
    <definedName name="ADD_1_wsFotNorm">#REF!</definedName>
    <definedName name="ADD_1_wsISU_F">#REF!</definedName>
    <definedName name="ADD_1_wsISU_P">#REF!</definedName>
    <definedName name="ADD_1_wsLeasingESX">#REF!</definedName>
    <definedName name="ADD_1_wsMaterials">#REF!</definedName>
    <definedName name="ADD_1_wsOtherNPR">#REF!</definedName>
    <definedName name="ADD_1_wsP130">#REF!</definedName>
    <definedName name="ADD_1_wsPO_F">#REF!</definedName>
    <definedName name="ADD_1_wsPO_P">#REF!</definedName>
    <definedName name="ADD_1_wsPPR">#REF!</definedName>
    <definedName name="ADD_1_wsPril1215E">'прил 1_215-Э'!$AD$43:$AD$48</definedName>
    <definedName name="ADD_1_wsPril3215E">'прил 3_215-Э'!$AD$39:$AD$44</definedName>
    <definedName name="ADD_1_wsProductRevenue_F">#REF!</definedName>
    <definedName name="ADD_1_wsProfit">#REF!</definedName>
    <definedName name="ADD_1_wsRentEsx">#REF!</definedName>
    <definedName name="ADD_1_wsRentOther">#REF!</definedName>
    <definedName name="ADD_1_wsRprRemont">#REF!</definedName>
    <definedName name="ADD_1_wsStaff">#REF!</definedName>
    <definedName name="ADD_1_wsTaxProperty">#REF!</definedName>
    <definedName name="ADD_1_wsTE">#REF!</definedName>
    <definedName name="ADD_1_wsTransportTax">#REF!</definedName>
    <definedName name="ADD_10_wsPO_F">#REF!</definedName>
    <definedName name="ADD_10_wsPO_P">#REF!</definedName>
    <definedName name="ADD_10_wsPPR">#REF!</definedName>
    <definedName name="ADD_11_wsPO_F">#REF!</definedName>
    <definedName name="ADD_11_wsPO_P">#REF!</definedName>
    <definedName name="ADD_11_wsPPR">#REF!</definedName>
    <definedName name="ADD_12_wsPO_F">#REF!</definedName>
    <definedName name="ADD_12_wsPO_P">#REF!</definedName>
    <definedName name="ADD_12_wsPPR">#REF!</definedName>
    <definedName name="ADD_2_wsDataReg">'Данные регулятора'!$AC$35:$AC$36</definedName>
    <definedName name="ADD_2_wsDocs">#REF!</definedName>
    <definedName name="ADD_2_wsForma31">#REF!</definedName>
    <definedName name="ADD_2_wsFotNorm">#REF!</definedName>
    <definedName name="ADD_2_wsMaterials">#REF!</definedName>
    <definedName name="ADD_2_wsP130">#REF!</definedName>
    <definedName name="ADD_2_wsPO_F">#REF!</definedName>
    <definedName name="ADD_2_wsPO_P">#REF!</definedName>
    <definedName name="ADD_2_wsPPR">#REF!</definedName>
    <definedName name="ADD_2_wsPril1215E">'прил 1_215-Э'!$AD$50:$AD$55</definedName>
    <definedName name="ADD_2_wsPril3215E">'прил 3_215-Э'!$AD$46:$AD$51</definedName>
    <definedName name="ADD_2_wsRentOther">#REF!</definedName>
    <definedName name="ADD_2_wsRprRemont">#REF!</definedName>
    <definedName name="ADD_3_wsForma31">#REF!</definedName>
    <definedName name="ADD_3_wsMaterials">#REF!</definedName>
    <definedName name="ADD_3_wsP130">#REF!</definedName>
    <definedName name="ADD_3_wsPO_F">#REF!</definedName>
    <definedName name="ADD_3_wsPO_P">#REF!</definedName>
    <definedName name="ADD_3_wsPPR">#REF!</definedName>
    <definedName name="ADD_3_wsPril1215E">'прил 1_215-Э'!$AD$57:$AD$60</definedName>
    <definedName name="ADD_3_wsPril3215E">'прил 3_215-Э'!$AD$53:$AD$56</definedName>
    <definedName name="ADD_3_wsRentOther">#REF!</definedName>
    <definedName name="ADD_3_wsRprRemont">#REF!</definedName>
    <definedName name="ADD_4_wsForma31">#REF!</definedName>
    <definedName name="ADD_4_wsMaterials">#REF!</definedName>
    <definedName name="ADD_4_wsP130">#REF!</definedName>
    <definedName name="ADD_4_wsPO_F">#REF!</definedName>
    <definedName name="ADD_4_wsPO_P">#REF!</definedName>
    <definedName name="ADD_4_wsPPR">#REF!</definedName>
    <definedName name="ADD_4_wsPril1215E">'прил 1_215-Э'!$AD$62:$AD$66</definedName>
    <definedName name="ADD_4_wsPril3215E">'прил 3_215-Э'!$AD$58:$AD$62</definedName>
    <definedName name="ADD_4_wsRentOther">#REF!</definedName>
    <definedName name="ADD_4_wsRprRemont">#REF!</definedName>
    <definedName name="ADD_5_wsMaterials">#REF!</definedName>
    <definedName name="ADD_5_wsP130">#REF!</definedName>
    <definedName name="ADD_5_wsPO_F">#REF!</definedName>
    <definedName name="ADD_5_wsPO_P">#REF!</definedName>
    <definedName name="ADD_5_wsPPR">#REF!</definedName>
    <definedName name="ADD_5_wsPril1215E">'прил 1_215-Э'!$AD$68:$AD$72</definedName>
    <definedName name="ADD_5_wsPril3215E">'прил 3_215-Э'!$AD$64:$AD$68</definedName>
    <definedName name="ADD_5_wsRentOther">#REF!</definedName>
    <definedName name="ADD_5_wsRprRemont">#REF!</definedName>
    <definedName name="ADD_6_wsMaterials">#REF!</definedName>
    <definedName name="ADD_6_wsP130">#REF!</definedName>
    <definedName name="ADD_6_wsPO_F">#REF!</definedName>
    <definedName name="ADD_6_wsPO_P">#REF!</definedName>
    <definedName name="ADD_6_wsPPR">#REF!</definedName>
    <definedName name="ADD_6_wsPril1215E">'прил 1_215-Э'!$AD$74:$AD$78</definedName>
    <definedName name="ADD_6_wsPril3215E">'прил 3_215-Э'!$AD$70:$AD$74</definedName>
    <definedName name="ADD_6_wsRprRemont">#REF!</definedName>
    <definedName name="ADD_7_wsPO_F">#REF!</definedName>
    <definedName name="ADD_7_wsPO_P">#REF!</definedName>
    <definedName name="ADD_7_wsPPR">#REF!</definedName>
    <definedName name="ADD_7_wsPril1215E">'прил 1_215-Э'!$AD$80:$AD$82</definedName>
    <definedName name="ADD_7_wsRprRemont">#REF!</definedName>
    <definedName name="ADD_8_wsPO_F">#REF!</definedName>
    <definedName name="ADD_8_wsPO_P">#REF!</definedName>
    <definedName name="ADD_8_wsPPR">#REF!</definedName>
    <definedName name="ADD_8_wsRprRemont">#REF!</definedName>
    <definedName name="ADD_9_wsPO_F">#REF!</definedName>
    <definedName name="ADD_9_wsPO_P">#REF!</definedName>
    <definedName name="ADD_9_wsPPR">#REF!</definedName>
    <definedName name="ADD_ET_1_wsEE">#REF!</definedName>
    <definedName name="ADD_ET_1_wsProductRevenue_F">#REF!</definedName>
    <definedName name="ADD_ET_2_wsEE">#REF!</definedName>
    <definedName name="addCurr">#REF!</definedName>
    <definedName name="allPrdPlan_wsP14">#REF!</definedName>
    <definedName name="BACE">TEHSHEET!$N$21:$N$22</definedName>
    <definedName name="BASIS_INSTALL">TEHSHEET!$P$21:$P$24</definedName>
    <definedName name="CALC_AMORT_LOAD">#REF!</definedName>
    <definedName name="CALC_AMORT_POK_ORG">#REF!</definedName>
    <definedName name="CALC_AMORT_POK_REG">#REF!</definedName>
    <definedName name="CALC_NVV_CustKemerovo">#REF!</definedName>
    <definedName name="ChangeStore">TEHSHEET!$C$11</definedName>
    <definedName name="CODE">#REF!</definedName>
    <definedName name="CONNECT">Титульный!$AC$58</definedName>
    <definedName name="CORR_NVV_clear">#REF!</definedName>
    <definedName name="doc_list">TEHSHEET!$P$29:$P$30</definedName>
    <definedName name="END_LICENSE">TEHSHEET!$C$8</definedName>
    <definedName name="EZ_DPR">TEHSHEET!$J$51:$J$52</definedName>
    <definedName name="EZ_DRP_corr_KOTEL_TYPE">'ЭЗ ДПР кор'!$AG$126</definedName>
    <definedName name="EZ_DRP_ROWS">'ЭЗ ДПР кор'!$A$265:$A$299</definedName>
    <definedName name="FIRST_PERIOD_IN_LT">Титульный!$AC$40</definedName>
    <definedName name="flag_end_wsAssetVal">#REF!</definedName>
    <definedName name="flag_end_wsBalanceA">#REF!</definedName>
    <definedName name="flag_end_wsBalanceP">#REF!</definedName>
    <definedName name="flag_end_wsBaseCtrl">'баз. ур. подк. расх.'!$AF$74</definedName>
    <definedName name="flag_end_wsCalcAmort">#REF!</definedName>
    <definedName name="flag_end_wsCalcNVV">#REF!</definedName>
    <definedName name="flag_end_wsCalcNVV642">'Расчет НВВ_6.42'!$AR$117</definedName>
    <definedName name="flag_end_wsCalcNVV74">'Расчет НВВ_74'!$BE$195</definedName>
    <definedName name="flag_end_wsComs">#REF!</definedName>
    <definedName name="flag_end_wsDataReg">'Данные регулятора'!$AF$37</definedName>
    <definedName name="flag_end_wsDocs">#REF!</definedName>
    <definedName name="flag_end_wsEconActive">#REF!</definedName>
    <definedName name="flag_end_wsEE">#REF!</definedName>
    <definedName name="flag_end_wsEZDPR421">'ЭЗ ДПР c уч.421'!$AU$934</definedName>
    <definedName name="flag_end_wsEZDPR421Demo">'ЭЗ ДПР c уч.421 ДЕМО'!$AU$697</definedName>
    <definedName name="flag_end_wsEZDPRCorr">'ЭЗ ДПР кор'!$AU$770</definedName>
    <definedName name="flag_end_wsEZDPRCorrDemo">'ЭЗ ДПР кор ДЕМО'!$AU$650</definedName>
    <definedName name="flag_end_wsFactLosses">#REF!</definedName>
    <definedName name="flag_end_wsFinanceRes">#REF!</definedName>
    <definedName name="flag_end_wsFinInd">#REF!</definedName>
    <definedName name="flag_end_wsFinStability">#REF!</definedName>
    <definedName name="flag_end_wsForma31">#REF!</definedName>
    <definedName name="flag_end_wsFotNorm">#REF!</definedName>
    <definedName name="flag_end_wsFSK">#REF!</definedName>
    <definedName name="flag_end_wsFSK_F">#REF!</definedName>
    <definedName name="flag_end_wsGeneralAnalys">#REF!</definedName>
    <definedName name="flag_end_wsHistoryChanges">'История изменений ВО'!$AJ$46</definedName>
    <definedName name="flag_end_wsISU_F">#REF!</definedName>
    <definedName name="flag_end_wsISU_P">#REF!</definedName>
    <definedName name="flag_end_wsLeasingESX">#REF!</definedName>
    <definedName name="flag_end_wsLEPue">#REF!</definedName>
    <definedName name="flag_end_wsLiquidity">#REF!</definedName>
    <definedName name="flag_end_wsList">'Список листов'!$AH$95</definedName>
    <definedName name="flag_end_wsLoss">#REF!</definedName>
    <definedName name="flag_end_wsMaterials">#REF!</definedName>
    <definedName name="flag_end_wsNVVCorr">#REF!</definedName>
    <definedName name="flag_end_wsNVVRSK">'НВВ РСК'!$AN$91</definedName>
    <definedName name="flag_end_wsOpenInfo">'Форма раскрытия информации'!$AK$142</definedName>
    <definedName name="flag_end_wsOPR">#REF!</definedName>
    <definedName name="flag_end_wsOptions">Настройка!$AN$66</definedName>
    <definedName name="flag_end_wsOrderMEnergy">#REF!</definedName>
    <definedName name="flag_end_wsOtherNPR">#REF!</definedName>
    <definedName name="flag_end_wsP130">#REF!</definedName>
    <definedName name="flag_end_wsP14">#REF!</definedName>
    <definedName name="flag_end_wsP15">#REF!</definedName>
    <definedName name="flag_end_wsPO_F">#REF!</definedName>
    <definedName name="flag_end_wsPO_P">#REF!</definedName>
    <definedName name="flag_end_wsPPR">#REF!</definedName>
    <definedName name="flag_end_wsPril1">#REF!</definedName>
    <definedName name="flag_end_wsPril1215E">'прил 1_215-Э'!$AO$85</definedName>
    <definedName name="flag_end_wsPril238">#REF!</definedName>
    <definedName name="flag_end_wsPril3215E">'прил 3_215-Э'!$AO$75</definedName>
    <definedName name="flag_end_wsPril56">#REF!</definedName>
    <definedName name="flag_end_wsProductRevenue_F">#REF!</definedName>
    <definedName name="flag_end_wsProfit">#REF!</definedName>
    <definedName name="flag_end_wsPSue">#REF!</definedName>
    <definedName name="flag_end_wsRentEsx">#REF!</definedName>
    <definedName name="flag_end_wsRentOther">#REF!</definedName>
    <definedName name="flag_end_wsRprRemont">#REF!</definedName>
    <definedName name="flag_end_wsStaff">#REF!</definedName>
    <definedName name="flag_end_wsSvodUE">#REF!</definedName>
    <definedName name="flag_end_wsT13Order585">#REF!</definedName>
    <definedName name="flag_end_wsT16Order585">#REF!</definedName>
    <definedName name="flag_end_wsTariffs">#REF!</definedName>
    <definedName name="flag_end_wsTaxProfit">#REF!</definedName>
    <definedName name="flag_end_wsTaxProperty">#REF!</definedName>
    <definedName name="flag_end_wsTE">#REF!</definedName>
    <definedName name="flag_end_wsTitle">Титульный!$AT$93</definedName>
    <definedName name="flag_end_wsTransferExp_F">PEREDACHA.XX.FACT.EXPENSES!$CN$61</definedName>
    <definedName name="flag_end_wsTransferM_Index">'PEREDACHA.M.ХХ Индекс'!$CZ$44</definedName>
    <definedName name="flag_end_wsTransportTax">#REF!</definedName>
    <definedName name="flag_start_wsAssetVal">#REF!</definedName>
    <definedName name="flag_start_wsBalanceA">#REF!</definedName>
    <definedName name="flag_start_wsBalanceP">#REF!</definedName>
    <definedName name="flag_start_wsBaseCtrl">'баз. ур. подк. расх.'!$AA$20</definedName>
    <definedName name="flag_start_wsCalcAmort">#REF!</definedName>
    <definedName name="flag_start_wsCalcNVV">#REF!</definedName>
    <definedName name="flag_start_wsCalcNVV642">'Расчет НВВ_6.42'!$AA$20</definedName>
    <definedName name="flag_start_wsCalcNVV74">'Расчет НВВ_74'!$AA$20</definedName>
    <definedName name="flag_start_wsComs">#REF!</definedName>
    <definedName name="flag_start_wsDataReg">'Данные регулятора'!$AA$20</definedName>
    <definedName name="flag_start_wsDocs">#REF!</definedName>
    <definedName name="flag_start_wsEconActive">#REF!</definedName>
    <definedName name="flag_start_wsEE">#REF!</definedName>
    <definedName name="flag_start_wsEZDPR421">'ЭЗ ДПР c уч.421'!$AA$20</definedName>
    <definedName name="flag_start_wsEZDPR421Demo">'ЭЗ ДПР c уч.421 ДЕМО'!$AA$20</definedName>
    <definedName name="flag_start_wsEZDPRCorr">'ЭЗ ДПР кор'!$AA$20</definedName>
    <definedName name="flag_start_wsEZDPRCorrDemo">'ЭЗ ДПР кор ДЕМО'!$AA$20</definedName>
    <definedName name="flag_start_wsFactLosses">#REF!</definedName>
    <definedName name="flag_start_wsFinanceRes">#REF!</definedName>
    <definedName name="flag_start_wsFinInd">#REF!</definedName>
    <definedName name="flag_start_wsFinStability">#REF!</definedName>
    <definedName name="flag_start_wsForma31">#REF!</definedName>
    <definedName name="flag_start_wsFotNorm">#REF!</definedName>
    <definedName name="flag_start_wsFSK">#REF!</definedName>
    <definedName name="flag_start_wsFSK_F">#REF!</definedName>
    <definedName name="flag_start_wsGeneralAnalys">#REF!</definedName>
    <definedName name="flag_start_wsHistoryChanges">'История изменений ВО'!$AA$20</definedName>
    <definedName name="flag_start_wsISU_F">#REF!</definedName>
    <definedName name="flag_start_wsISU_P">#REF!</definedName>
    <definedName name="flag_start_wsLeasingESX">#REF!</definedName>
    <definedName name="flag_start_wsLEPue">#REF!</definedName>
    <definedName name="flag_start_wsLiquidity">#REF!</definedName>
    <definedName name="flag_start_wsList">'Список листов'!$AA$20</definedName>
    <definedName name="flag_start_wsLoss">#REF!</definedName>
    <definedName name="flag_start_wsMaterials">#REF!</definedName>
    <definedName name="flag_start_wsNVVCorr">#REF!</definedName>
    <definedName name="flag_start_wsNVVRSK">'НВВ РСК'!$AA$20</definedName>
    <definedName name="flag_start_wsOpenInfo">'Форма раскрытия информации'!$AA$20</definedName>
    <definedName name="flag_start_wsOPR">#REF!</definedName>
    <definedName name="flag_start_wsOptions">Настройка!$AA$57</definedName>
    <definedName name="flag_start_wsOrderMEnergy">#REF!</definedName>
    <definedName name="flag_start_wsOtherNPR">#REF!</definedName>
    <definedName name="flag_start_wsP130">#REF!</definedName>
    <definedName name="flag_start_wsP14">#REF!</definedName>
    <definedName name="flag_start_wsP15">#REF!</definedName>
    <definedName name="flag_start_wsPO_F">#REF!</definedName>
    <definedName name="flag_start_wsPO_P">#REF!</definedName>
    <definedName name="flag_start_wsPPR">#REF!</definedName>
    <definedName name="flag_start_wsPril1">#REF!</definedName>
    <definedName name="flag_start_wsPril1215E">'прил 1_215-Э'!$AA$20</definedName>
    <definedName name="flag_start_wsPril238">#REF!</definedName>
    <definedName name="flag_start_wsPril3215E">'прил 3_215-Э'!$AA$20</definedName>
    <definedName name="flag_start_wsPril56">#REF!</definedName>
    <definedName name="flag_start_wsProductRevenue_F">#REF!</definedName>
    <definedName name="flag_start_wsProfit">#REF!</definedName>
    <definedName name="flag_start_wsPSue">#REF!</definedName>
    <definedName name="flag_start_wsRentEsx">#REF!</definedName>
    <definedName name="flag_start_wsRentOther">#REF!</definedName>
    <definedName name="flag_start_wsRprRemont">#REF!</definedName>
    <definedName name="flag_start_wsStaff">#REF!</definedName>
    <definedName name="flag_start_wsSvodUE">#REF!</definedName>
    <definedName name="flag_start_wsT13Order585">#REF!</definedName>
    <definedName name="flag_start_wsT16Order585">#REF!</definedName>
    <definedName name="flag_start_wsTariffs">#REF!</definedName>
    <definedName name="flag_start_wsTaxProfit">#REF!</definedName>
    <definedName name="flag_start_wsTaxProperty">#REF!</definedName>
    <definedName name="flag_start_wsTE">#REF!</definedName>
    <definedName name="flag_start_wsTitle">Титульный!$AA$20</definedName>
    <definedName name="flag_start_wsTransferExp_F">PEREDACHA.XX.FACT.EXPENSES!$AA$20</definedName>
    <definedName name="flag_start_wsTransferM_Index">'PEREDACHA.M.ХХ Индекс'!$AA$20</definedName>
    <definedName name="flag_start_wsTransportTax">#REF!</definedName>
    <definedName name="GOD_BAZUR">Титульный!$AC$41</definedName>
    <definedName name="GOD_BAZUR_PERIODS">TEHSHEET!$K$9:$K$23</definedName>
    <definedName name="GOD_BAZUR_REG">#REF!</definedName>
    <definedName name="GRID_check">TEHSHEET!$E$22</definedName>
    <definedName name="GRID_check_VR">TEHSHEET!$E$23</definedName>
    <definedName name="GRID_keyTS">TEHSHEET!$G$22</definedName>
    <definedName name="GRID_org">TEHSHEET!$H$22</definedName>
    <definedName name="GRID_signTS">TEHSHEET!$F$22</definedName>
    <definedName name="GROUP_AMORT">TEHSHEET!$AD$33:$AD$42</definedName>
    <definedName name="INFORMATION_TO_LIST">TEHSHEET!$M$37:$M$38</definedName>
    <definedName name="INN">Титульный!$AC$31</definedName>
    <definedName name="INN_DOP">Титульный!$AC$55</definedName>
    <definedName name="InsB_wsHistoryChanges_1">'История изменений ВО'!$AC$24:$AC$25</definedName>
    <definedName name="INSTALL_METHOD">TEHSHEET!$O$21:$O$23</definedName>
    <definedName name="INSTRUCTION">TEHSHEET!$C$5</definedName>
    <definedName name="KOL_CEPEY">TEHSHEET!$AD$3:$AD$4</definedName>
    <definedName name="KOL_KAB">TEHSHEET!$AD$12:$AD$16</definedName>
    <definedName name="KOL_TR">TEHSHEET!$X$33:$X$34</definedName>
    <definedName name="KOL_YACHEEK">TEHSHEET!$Z$24:$Z$28</definedName>
    <definedName name="KPP">Титульный!$AC$32</definedName>
    <definedName name="KPP_DOP">Титульный!$AC$56</definedName>
    <definedName name="LEVEL_VOLTAGE">TEHSHEET!$M$21:$M$24</definedName>
    <definedName name="LINK_DOC_MASK">TEHSHEET!$B$2:$B$3</definedName>
    <definedName name="LIST_SOB">TEHSHEET!$J$56:$J$61</definedName>
    <definedName name="LOAD_1_wsAssetVal">#REF!</definedName>
    <definedName name="LOAD_1_wsBalanceA">#REF!</definedName>
    <definedName name="LOAD_1_wsBalanceP">#REF!</definedName>
    <definedName name="LOAD_1_wsBaseCtrl">'баз. ур. подк. расх.'!$AD$27:$AE$73</definedName>
    <definedName name="LOAD_1_wsCalcAmort">#REF!</definedName>
    <definedName name="LOAD_1_wsCalcNVV">#REF!</definedName>
    <definedName name="LOAD_1_wsCalcNVV642">'Расчет НВВ_6.42'!$AE$28:$AQ$111</definedName>
    <definedName name="LOAD_1_wsCalcNVV74">'Расчет НВВ_74'!$AG$28:$BB$58</definedName>
    <definedName name="LOAD_1_wsComs">#REF!</definedName>
    <definedName name="LOAD_1_wsDataReg">'Данные регулятора'!$AD$26:$AD$37</definedName>
    <definedName name="LOAD_1_wsDocs">#REF!</definedName>
    <definedName name="LOAD_1_wsEconActive">#REF!</definedName>
    <definedName name="LOAD_1_wsEE">#REF!</definedName>
    <definedName name="LOAD_1_wsFactLosses">#REF!</definedName>
    <definedName name="LOAD_1_wsFinanceRes">#REF!</definedName>
    <definedName name="LOAD_1_wsFinInd">#REF!</definedName>
    <definedName name="LOAD_1_wsFinStability">#REF!</definedName>
    <definedName name="LOAD_1_wsForma31">#REF!</definedName>
    <definedName name="LOAD_1_wsFotNorm">#REF!</definedName>
    <definedName name="LOAD_1_wsFSK">#REF!</definedName>
    <definedName name="LOAD_1_wsFSK_F">#REF!</definedName>
    <definedName name="LOAD_1_wsGeneralAnalys">#REF!</definedName>
    <definedName name="LOAD_1_wsISU_F">#REF!</definedName>
    <definedName name="LOAD_1_wsISU_P">#REF!</definedName>
    <definedName name="LOAD_1_wsLeasingESX">#REF!</definedName>
    <definedName name="LOAD_1_wsLEPue">#REF!</definedName>
    <definedName name="LOAD_1_wsLiquidity">#REF!</definedName>
    <definedName name="LOAD_1_wsLoss">#REF!</definedName>
    <definedName name="LOAD_1_wsMaterials">#REF!</definedName>
    <definedName name="LOAD_1_wsNVVCorr">#REF!</definedName>
    <definedName name="LOAD_1_wsNVVRSK">'НВВ РСК'!$AE$28:$AM$90</definedName>
    <definedName name="LOAD_1_wsOpenInfo">'Форма раскрытия информации'!$AD$31:$AD$41</definedName>
    <definedName name="LOAD_1_wsOPR">#REF!</definedName>
    <definedName name="LOAD_1_wsOtherNPR">#REF!</definedName>
    <definedName name="LOAD_1_wsP130">#REF!</definedName>
    <definedName name="LOAD_1_wsP14">#REF!</definedName>
    <definedName name="LOAD_1_wsP15">#REF!</definedName>
    <definedName name="LOAD_1_wsPO_F">#REF!</definedName>
    <definedName name="LOAD_1_wsPO_P">#REF!</definedName>
    <definedName name="LOAD_1_wsPPR">#REF!</definedName>
    <definedName name="LOAD_1_wsPril1">#REF!</definedName>
    <definedName name="LOAD_1_wsPril1215E">'прил 1_215-Э'!$AE$26:$AE$32</definedName>
    <definedName name="LOAD_1_wsPril238">#REF!</definedName>
    <definedName name="LOAD_1_wsPril3215E">'прил 3_215-Э'!$AE$26:$AE$32</definedName>
    <definedName name="LOAD_1_wsPril56">#REF!</definedName>
    <definedName name="LOAD_1_wsProductRevenue_F">#REF!</definedName>
    <definedName name="LOAD_1_wsProfit">#REF!</definedName>
    <definedName name="LOAD_1_wsPSue">#REF!</definedName>
    <definedName name="LOAD_1_wsRentEsx">#REF!</definedName>
    <definedName name="LOAD_1_wsRentOther">#REF!</definedName>
    <definedName name="LOAD_1_wsRprRemont">#REF!</definedName>
    <definedName name="LOAD_1_wsStaff">#REF!</definedName>
    <definedName name="LOAD_1_wsSvodUE">#REF!</definedName>
    <definedName name="LOAD_1_wsT13Order585">#REF!</definedName>
    <definedName name="LOAD_1_wsT16Order585">#REF!</definedName>
    <definedName name="LOAD_1_wsTariffs">#REF!</definedName>
    <definedName name="LOAD_1_wsTaxProfit">#REF!</definedName>
    <definedName name="LOAD_1_wsTaxProperty">#REF!</definedName>
    <definedName name="LOAD_1_wsTE">#REF!</definedName>
    <definedName name="LOAD_1_wsTitle">Титульный!$AC$23:$AC$89</definedName>
    <definedName name="LOAD_1_wsTransferExp_F">PEREDACHA.XX.FACT.EXPENSES!$AE$28:$CM$60</definedName>
    <definedName name="LOAD_1_wsTransferM_Index">'PEREDACHA.M.ХХ Индекс'!$AB$29:$CX$43</definedName>
    <definedName name="LOAD_1_wsTransportTax">#REF!</definedName>
    <definedName name="LOAD_2_wsFactLosses">#REF!</definedName>
    <definedName name="LOAD_2_wsISU_F">#REF!</definedName>
    <definedName name="LOAD_2_wsISU_P">#REF!</definedName>
    <definedName name="LOAD_2_wsOpenInfo">'Форма раскрытия информации'!$AE$49:$AG$78</definedName>
    <definedName name="LOAD_2_wsPril1215E">'прил 1_215-Э'!$AE$37:$AM$84</definedName>
    <definedName name="LOAD_2_wsPril238">#REF!</definedName>
    <definedName name="LOAD_2_wsPril3215E">'прил 3_215-Э'!$AE$37:$AM$75</definedName>
    <definedName name="LOAD_2_wsPril56">#REF!</definedName>
    <definedName name="LOAD_2_wsProductRevenue_F">#REF!</definedName>
    <definedName name="LOAD_2_wsT13Order585">#REF!</definedName>
    <definedName name="LOAD_2_wsT16Order585">#REF!</definedName>
    <definedName name="LOAD_2_wsTE">#REF!</definedName>
    <definedName name="LOAD_3_wsOpenInfo">'Форма раскрытия информации'!$AE$89:$AJ$136</definedName>
    <definedName name="LOAD_3_wsPril238">#REF!</definedName>
    <definedName name="LOAD_3_wsT16Order585">#REF!</definedName>
    <definedName name="LOAD_4_wsPril238">#REF!</definedName>
    <definedName name="logic">TEHSHEET!$N$10:$N$11</definedName>
    <definedName name="LOSSES_ECONOMY_ORG">#REF!</definedName>
    <definedName name="LOSSES_ECONOMY_ORG_NO">#REF!</definedName>
    <definedName name="LOSSES_ECONOMY_ORG_TEMP">#REF!</definedName>
    <definedName name="LOSSES_ECONOMY_ORG_YES">#REF!</definedName>
    <definedName name="LOSSES_ECONOMY_REG">#REF!</definedName>
    <definedName name="LOSSES_ECONOMY_REG_NO">#REF!</definedName>
    <definedName name="LOSSES_ECONOMY_REG_TEMP">#REF!</definedName>
    <definedName name="LOSSES_ECONOMY_REG_YES">#REF!</definedName>
    <definedName name="LOSSES_YEAR_SUM">#REF!</definedName>
    <definedName name="mainDyns">#REF!</definedName>
    <definedName name="METOD_RASCHETA_TARIFA">TEHSHEET!$S$12:$S$18</definedName>
    <definedName name="MONTH_LIST">TEHSHEET!$D$6:$D$17</definedName>
    <definedName name="napr_tr_C6">TEHSHEET!$V$33:$V$38</definedName>
    <definedName name="napr_tr_C7">TEHSHEET!$V$49:$V$50</definedName>
    <definedName name="napr_tr_C8">TEHSHEET!$V$63:$V$67</definedName>
    <definedName name="notCycle_1_wsCalcNVV">#REF!,#REF!,#REF!,#REF!,#REF!</definedName>
    <definedName name="notCycle_1_wsMaterials">#REF!,#REF!,#REF!,#REF!,#REF!,#REF!,#REF!,#REF!,#REF!</definedName>
    <definedName name="notCycle_1_wsPPR">#REF!,#REF!,#REF!,#REF!,#REF!,#REF!,#REF!,#REF!,#REF!,#REF!,#REF!,#REF!</definedName>
    <definedName name="notLoad_1_wsCalcNVV">#REF!</definedName>
    <definedName name="ONLYORG_check">TEHSHEET!$E$27</definedName>
    <definedName name="ONLYORG_LGL_ID">TEHSHEET!$F$27</definedName>
    <definedName name="OPF">Титульный!$AC$29</definedName>
    <definedName name="Opts_template_region">Настройка!$AC$62</definedName>
    <definedName name="ORG">Титульный!$AC$27</definedName>
    <definedName name="ORG_DOP">Титульный!$AC$53</definedName>
    <definedName name="ORG_ID">Титульный!$AC$30</definedName>
    <definedName name="ORG_ID_DOP">Титульный!$AC$54</definedName>
    <definedName name="OWNERSHIP_LIST">TEHSHEET!$M$10:$M$17</definedName>
    <definedName name="P1_4_1_EE_1_TOTAL">#REF!</definedName>
    <definedName name="P1_4_1_EE_2_TOTAL">#REF!</definedName>
    <definedName name="P1_5_1_POWER_2_TOTAL">#REF!</definedName>
    <definedName name="P1_5_SECTION_4_1_ROW">#REF!</definedName>
    <definedName name="PATTERNS_COSTS">PATTERN_COSTS!$A$2:$K$2</definedName>
    <definedName name="PERIOD_IN_LT">Титульный!$AC$47</definedName>
    <definedName name="PERIOD_LENGTH">Титульный!$AC$42</definedName>
    <definedName name="POSSIBLE_PERIOD_FIX">TEHSHEET!$E$2</definedName>
    <definedName name="POSSIBLE_PERIOD_LENGTH">TEHSHEET!$J$3:$J$6</definedName>
    <definedName name="POSSIBLE_PERIOD_LENGTH_10">TEHSHEET!$J$3:$J$7</definedName>
    <definedName name="POSSIBLE_PERIODS_1">TEHSHEET!$J$9</definedName>
    <definedName name="POSSIBLE_PERIODS_3">TEHSHEET!$J$12:$J$14</definedName>
    <definedName name="POSSIBLE_PERIODS_4">TEHSHEET!$J$17:$J$20</definedName>
    <definedName name="POSSIBLE_PERIODS_5">TEHSHEET!$J$23:$J$27</definedName>
    <definedName name="POSSIBLE_PERIODS_6">TEHSHEET!$J$30:$J$34</definedName>
    <definedName name="POSSIBLE_PERIODS_7">TEHSHEET!$K$7:$K$14</definedName>
    <definedName name="PRD">Титульный!$AC$34</definedName>
    <definedName name="preload_1_wsCalcNVV">#REF!,#REF!,#REF!,#REF!,#REF!,#REF!,#REF!,#REF!,#REF!,#REF!,#REF!,#REF!,#REF!</definedName>
    <definedName name="PRELOAD_check">TEHSHEET!$E$28</definedName>
    <definedName name="PRELOAD_LGL_ID">TEHSHEET!$F$28</definedName>
    <definedName name="PRELOAD_org">TEHSHEET!$H$28</definedName>
    <definedName name="preload_VR_check_1">#REF!</definedName>
    <definedName name="preload_VR_check_2">#REF!</definedName>
    <definedName name="preload_VR_check_3">#REF!</definedName>
    <definedName name="PRIMARY_ACTIVITY">Титульный!$AC$50</definedName>
    <definedName name="PROVOD">TEHSHEET!$Z$3:$Z$6</definedName>
    <definedName name="REGION_NAME">Титульный!$AC$23</definedName>
    <definedName name="REGION_TARIFF_LIST">Настройка!$AB$33:$AB$56</definedName>
    <definedName name="REGION_TARIFF_LIST_FLAGS">Настройка!$AC$33:$AC$56</definedName>
    <definedName name="REGIONS">TEHSHEET!$A$2:$A$16</definedName>
    <definedName name="REGULATION_METHODS">Титульный!$AC$36</definedName>
    <definedName name="REPORT_OWNER">Титульный!$AC$25</definedName>
    <definedName name="rngCopy">#REF!</definedName>
    <definedName name="SECHENIE_PROVOD">TEHSHEET!$AB$3:$AB$8</definedName>
    <definedName name="SECHENIE_PROVOD_KL">TEHSHEET!$AB$12:$AB$20</definedName>
    <definedName name="SETTINGS_CALC_METHOD">TEHSHEET!$J$38:$J$40</definedName>
    <definedName name="SETTINGS_CALC_METHOD_4_47">TEHSHEET!$J$45:$J$47</definedName>
    <definedName name="SOURCE_DEVICE">TEHSHEET!$O$29:$O$32</definedName>
    <definedName name="SPOSOB_PROKLADKI">TEHSHEET!$V$12:$V$18</definedName>
    <definedName name="STATUS_CONTRACT">TEHSHEET!$O$3:$O$5</definedName>
    <definedName name="STATUS_CONTRACT_REESTR">TEHSHEET!$P$3:$P$5</definedName>
    <definedName name="TARIFF_SEND">Титульный!$AC$38</definedName>
    <definedName name="tblEnd_1_wsAssetVal">#REF!</definedName>
    <definedName name="tblEnd_1_wsBalanceA">#REF!</definedName>
    <definedName name="tblEnd_1_wsBalanceP">#REF!</definedName>
    <definedName name="tblEnd_1_wsBaseCtrl">'баз. ур. подк. расх.'!$AE$73</definedName>
    <definedName name="tblEnd_1_wsCalcAmort">#REF!</definedName>
    <definedName name="tblEnd_1_wsCalcNVV">#REF!</definedName>
    <definedName name="tblEnd_1_wsCalcNVV642">'Расчет НВВ_6.42'!$AQ$111</definedName>
    <definedName name="tblEnd_1_wsCalcNVV74">'Расчет НВВ_74'!$BB$58</definedName>
    <definedName name="tblEnd_1_wsComs">#REF!</definedName>
    <definedName name="tblEnd_1_wsDataReg">'Данные регулятора'!$AD$37</definedName>
    <definedName name="tblEnd_1_wsDocs">#REF!</definedName>
    <definedName name="tblEnd_1_wsEconActive">#REF!</definedName>
    <definedName name="tblEnd_1_wsEE">#REF!</definedName>
    <definedName name="tblEnd_1_wsFactLosses">#REF!</definedName>
    <definedName name="tblEnd_1_wsFinanceRes">#REF!</definedName>
    <definedName name="tblEnd_1_wsFinInd">#REF!</definedName>
    <definedName name="tblEnd_1_wsFinStability">#REF!</definedName>
    <definedName name="tblEnd_1_wsForma31">#REF!</definedName>
    <definedName name="tblEnd_1_wsFotNorm">#REF!</definedName>
    <definedName name="tblEnd_1_wsFSK">#REF!</definedName>
    <definedName name="tblEnd_1_wsFSK_F">#REF!</definedName>
    <definedName name="tblEnd_1_wsGeneralAnalys">#REF!</definedName>
    <definedName name="tblEnd_1_wsISU_F">#REF!</definedName>
    <definedName name="tblEnd_1_wsISU_P">#REF!</definedName>
    <definedName name="tblEnd_1_wsLeasingESX">#REF!</definedName>
    <definedName name="tblEnd_1_wsLEPue">#REF!</definedName>
    <definedName name="tblEnd_1_wsLiquidity">#REF!</definedName>
    <definedName name="tblEnd_1_wsLoss">#REF!</definedName>
    <definedName name="tblEnd_1_wsMaterials">#REF!</definedName>
    <definedName name="tblEnd_1_wsNVVCorr">#REF!</definedName>
    <definedName name="tblEnd_1_wsNVVRSK">'НВВ РСК'!$AM$90</definedName>
    <definedName name="tblEnd_1_wsOpenInfo">'Форма раскрытия информации'!$AD$41</definedName>
    <definedName name="tblEnd_1_wsOPR">#REF!</definedName>
    <definedName name="tblEnd_1_wsOtherNPR">#REF!</definedName>
    <definedName name="tblEnd_1_wsP130">#REF!</definedName>
    <definedName name="tblEnd_1_wsP14">#REF!</definedName>
    <definedName name="tblEnd_1_wsP15">#REF!</definedName>
    <definedName name="tblEnd_1_wsPO_F">#REF!</definedName>
    <definedName name="tblEnd_1_wsPO_P">#REF!</definedName>
    <definedName name="tblEnd_1_wsPPR">#REF!</definedName>
    <definedName name="tblEnd_1_wsPril1">#REF!</definedName>
    <definedName name="tblEnd_1_wsPril1215E">'прил 1_215-Э'!$AE$32</definedName>
    <definedName name="tblEnd_1_wsPril238">#REF!</definedName>
    <definedName name="tblEnd_1_wsPril3215E">'прил 3_215-Э'!$AE$32</definedName>
    <definedName name="tblEnd_1_wsPril56">#REF!</definedName>
    <definedName name="tblEnd_1_wsProductRevenue_F">#REF!</definedName>
    <definedName name="tblEnd_1_wsProfit">#REF!</definedName>
    <definedName name="tblEnd_1_wsPSue">#REF!</definedName>
    <definedName name="tblEnd_1_wsRentEsx">#REF!</definedName>
    <definedName name="tblEnd_1_wsRentOther">#REF!</definedName>
    <definedName name="tblEnd_1_wsRprRemont">#REF!</definedName>
    <definedName name="tblEnd_1_wsStaff">#REF!</definedName>
    <definedName name="tblEnd_1_wsSvodUE">#REF!</definedName>
    <definedName name="tblEnd_1_wsT13Order585">#REF!</definedName>
    <definedName name="tblEnd_1_wsT16Order585">#REF!</definedName>
    <definedName name="tblEnd_1_wsTariffs">#REF!</definedName>
    <definedName name="tblEnd_1_wsTaxProfit">#REF!</definedName>
    <definedName name="tblEnd_1_wsTaxProperty">#REF!</definedName>
    <definedName name="tblEnd_1_wsTE">#REF!</definedName>
    <definedName name="tblEnd_1_wsTitle">Титульный!$AC$89</definedName>
    <definedName name="tblEnd_1_wsTransferExp_F">PEREDACHA.XX.FACT.EXPENSES!$CM$60</definedName>
    <definedName name="tblEnd_1_wsTransferM_Index">'PEREDACHA.M.ХХ Индекс'!$CX$43</definedName>
    <definedName name="tblEnd_1_wsTransportTax">#REF!</definedName>
    <definedName name="tblEnd_2_wsFactLosses">#REF!</definedName>
    <definedName name="tblEnd_2_wsISU_F">#REF!</definedName>
    <definedName name="tblEnd_2_wsISU_P">#REF!</definedName>
    <definedName name="tblEnd_2_wsOpenInfo">'Форма раскрытия информации'!$AG$78</definedName>
    <definedName name="tblEnd_2_wsPril1215E">'прил 1_215-Э'!$AM$84</definedName>
    <definedName name="tblEnd_2_wsPril238">#REF!</definedName>
    <definedName name="tblEnd_2_wsPril3215E">'прил 3_215-Э'!$AM$75</definedName>
    <definedName name="tblEnd_2_wsPril56">#REF!</definedName>
    <definedName name="tblEnd_2_wsProductRevenue_F">#REF!</definedName>
    <definedName name="tblEnd_2_wsT13Order585">#REF!</definedName>
    <definedName name="tblEnd_2_wsT16Order585">#REF!</definedName>
    <definedName name="tblEnd_2_wsTE">#REF!</definedName>
    <definedName name="tblEnd_3_wsOpenInfo">'Форма раскрытия информации'!$AJ$136</definedName>
    <definedName name="tblEnd_3_wsPril238">#REF!</definedName>
    <definedName name="tblEnd_3_wsT16Order585">#REF!</definedName>
    <definedName name="tblEnd_4_wsPril238">#REF!</definedName>
    <definedName name="tblHead_1_wsCalcNVV">#REF!</definedName>
    <definedName name="tblHead_1_wsNVVCorr">#REF!</definedName>
    <definedName name="tblHead_1_wsTitle">Титульный!$AB$22</definedName>
    <definedName name="tblStart_1_wsAssetVal">#REF!</definedName>
    <definedName name="tblStart_1_wsBalanceA">#REF!</definedName>
    <definedName name="tblStart_1_wsBalanceP">#REF!</definedName>
    <definedName name="tblStart_1_wsBaseCtrl">'баз. ур. подк. расх.'!$AD$27</definedName>
    <definedName name="tblStart_1_wsCalcAmort">#REF!</definedName>
    <definedName name="tblStart_1_wsCalcNVV">#REF!</definedName>
    <definedName name="tblStart_1_wsCalcNVV642">'Расчет НВВ_6.42'!$AE$28</definedName>
    <definedName name="tblStart_1_wsCalcNVV74">'Расчет НВВ_74'!$AG$28</definedName>
    <definedName name="tblStart_1_wsComs">#REF!</definedName>
    <definedName name="tblStart_1_wsDataReg">'Данные регулятора'!$AD$26</definedName>
    <definedName name="tblStart_1_wsDocs">#REF!</definedName>
    <definedName name="tblStart_1_wsEconActive">#REF!</definedName>
    <definedName name="tblStart_1_wsEE">#REF!</definedName>
    <definedName name="tblStart_1_wsFactLosses">#REF!</definedName>
    <definedName name="tblStart_1_wsFinanceRes">#REF!</definedName>
    <definedName name="tblStart_1_wsFinInd">#REF!</definedName>
    <definedName name="tblStart_1_wsFinStability">#REF!</definedName>
    <definedName name="tblStart_1_wsForma31">#REF!</definedName>
    <definedName name="tblStart_1_wsFotNorm">#REF!</definedName>
    <definedName name="tblStart_1_wsFSK">#REF!</definedName>
    <definedName name="tblStart_1_wsFSK_F">#REF!</definedName>
    <definedName name="tblStart_1_wsGeneralAnalys">#REF!</definedName>
    <definedName name="tblStart_1_wsISU_F">#REF!</definedName>
    <definedName name="tblStart_1_wsISU_P">#REF!</definedName>
    <definedName name="tblStart_1_wsLeasingESX">#REF!</definedName>
    <definedName name="tblStart_1_wsLEPue">#REF!</definedName>
    <definedName name="tblStart_1_wsLiquidity">#REF!</definedName>
    <definedName name="tblStart_1_wsLoss">#REF!</definedName>
    <definedName name="tblStart_1_wsMaterials">#REF!</definedName>
    <definedName name="tblStart_1_wsNVVCorr">#REF!</definedName>
    <definedName name="tblStart_1_wsNVVRSK">'НВВ РСК'!$AE$28</definedName>
    <definedName name="tblStart_1_wsOpenInfo">'Форма раскрытия информации'!$AD$31</definedName>
    <definedName name="tblStart_1_wsOPR">#REF!</definedName>
    <definedName name="tblStart_1_wsOtherNPR">#REF!</definedName>
    <definedName name="tblStart_1_wsP130">#REF!</definedName>
    <definedName name="tblStart_1_wsP14">#REF!</definedName>
    <definedName name="tblStart_1_wsP15">#REF!</definedName>
    <definedName name="tblStart_1_wsPO_F">#REF!</definedName>
    <definedName name="tblStart_1_wsPO_P">#REF!</definedName>
    <definedName name="tblStart_1_wsPPR">#REF!</definedName>
    <definedName name="tblStart_1_wsPril1">#REF!</definedName>
    <definedName name="tblStart_1_wsPril1215E">'прил 1_215-Э'!$AE$26</definedName>
    <definedName name="tblStart_1_wsPril238">#REF!</definedName>
    <definedName name="tblStart_1_wsPril3215E">'прил 3_215-Э'!$AE$26</definedName>
    <definedName name="tblStart_1_wsPril56">#REF!</definedName>
    <definedName name="tblStart_1_wsProductRevenue_F">#REF!</definedName>
    <definedName name="tblStart_1_wsProfit">#REF!</definedName>
    <definedName name="tblStart_1_wsPSue">#REF!</definedName>
    <definedName name="tblStart_1_wsRentEsx">#REF!</definedName>
    <definedName name="tblStart_1_wsRentOther">#REF!</definedName>
    <definedName name="tblStart_1_wsRprRemont">#REF!</definedName>
    <definedName name="tblStart_1_wsStaff">#REF!</definedName>
    <definedName name="tblStart_1_wsSvodUE">#REF!</definedName>
    <definedName name="tblStart_1_wsT13Order585">#REF!</definedName>
    <definedName name="tblStart_1_wsT16Order585">#REF!</definedName>
    <definedName name="tblStart_1_wsTariffs">#REF!</definedName>
    <definedName name="tblStart_1_wsTaxProfit">#REF!</definedName>
    <definedName name="tblStart_1_wsTaxProperty">#REF!</definedName>
    <definedName name="tblStart_1_wsTE">#REF!</definedName>
    <definedName name="tblStart_1_wsTitle">Титульный!$AC$23</definedName>
    <definedName name="tblStart_1_wsTransferExp_F">PEREDACHA.XX.FACT.EXPENSES!$AE$28</definedName>
    <definedName name="tblStart_1_wsTransferM_Index">'PEREDACHA.M.ХХ Индекс'!$AB$29</definedName>
    <definedName name="tblStart_1_wsTransportTax">#REF!</definedName>
    <definedName name="tblStart_2_wsFactLosses">#REF!</definedName>
    <definedName name="tblStart_2_wsISU_F">#REF!</definedName>
    <definedName name="tblStart_2_wsISU_P">#REF!</definedName>
    <definedName name="tblStart_2_wsOpenInfo">'Форма раскрытия информации'!$AE$49</definedName>
    <definedName name="tblStart_2_wsPril1215E">'прил 1_215-Э'!$AE$37</definedName>
    <definedName name="tblStart_2_wsPril238">#REF!</definedName>
    <definedName name="tblStart_2_wsPril3215E">'прил 3_215-Э'!$AE$37</definedName>
    <definedName name="tblStart_2_wsPril56">#REF!</definedName>
    <definedName name="tblStart_2_wsProductRevenue_F">#REF!</definedName>
    <definedName name="tblStart_2_wsT13Order585">#REF!</definedName>
    <definedName name="tblStart_2_wsT16Order585">#REF!</definedName>
    <definedName name="tblStart_2_wsTE">#REF!</definedName>
    <definedName name="tblStart_3_wsOpenInfo">'Форма раскрытия информации'!$AE$89</definedName>
    <definedName name="tblStart_3_wsPril238">#REF!</definedName>
    <definedName name="tblStart_3_wsT16Order585">#REF!</definedName>
    <definedName name="tblStart_4_wsPril238">#REF!</definedName>
    <definedName name="TemplateState">TEHSHEET!$C$2</definedName>
    <definedName name="TIT_VERSION">Титульный!$AC$90</definedName>
    <definedName name="TITLE_CONTACTS_DATA">Титульный!$AC$74:$AC$89</definedName>
    <definedName name="titleLock_1">Титульный!$AC$43</definedName>
    <definedName name="TOK">TEHSHEET!$X$24:$X$28</definedName>
    <definedName name="tr_power_С6">TEHSHEET!$Z$33:$Z$45</definedName>
    <definedName name="tr_power_С7">TEHSHEET!$Z$49:$Z$60</definedName>
    <definedName name="tr_power_С8">TEHSHEET!$Z$63:$Z$72</definedName>
    <definedName name="TYPE_CUSTOMERS">TEHSHEET!$O$10:$O$13</definedName>
    <definedName name="TYPE_DEVICE">TEHSHEET!$N$29:$N$32</definedName>
    <definedName name="TYPE_DOC_RENT">TEHSHEET!$N$3:$N$4</definedName>
    <definedName name="TYPE_DOC_RENT2">TEHSHEET!$N$3:$N$8</definedName>
    <definedName name="TYPE_IZOL">TEHSHEET!$Z$12:$Z$13</definedName>
    <definedName name="TYPE_KOTEL">TEHSHEET!$S$3:$S$5</definedName>
    <definedName name="TYPE_OBJECT">TEHSHEET!$M$29:$M$33</definedName>
    <definedName name="TYPE_OBOR">TEHSHEET!$V$24:$V$29</definedName>
    <definedName name="TYPE_OPOR">TEHSHEET!$V$3:$V$5</definedName>
    <definedName name="TYPE_PROVOD_KL">TEHSHEET!$X$12:$X$13</definedName>
    <definedName name="TYPE_PROVODA">TEHSHEET!$X$3:$X$4</definedName>
    <definedName name="TYPE_RENT">TEHSHEET!$M$3:$M$5</definedName>
    <definedName name="TYPE_RENT_DOG">TEHSHEET!$Q$3:$Q$4</definedName>
    <definedName name="TYPE_С6">TEHSHEET!$AB$33:$AB$36</definedName>
    <definedName name="TYPE_С7">TEHSHEET!$AB$49:$AB$50</definedName>
    <definedName name="TYPE_С8.1">TEHSHEET!$V$76:$V$77</definedName>
    <definedName name="TYPE2_С8.1">TEHSHEET!$X$76:$X$78</definedName>
    <definedName name="VD_LIST">TEHSHEET!$M$41:$M$42</definedName>
    <definedName name="VERSION">#REF!</definedName>
    <definedName name="wsHistoryChanges_add_Block_1">'История изменений ВО'!$29:$30</definedName>
    <definedName name="wsHistoryChanges_add_row_1">'История изменений ВО'!$37:$37</definedName>
    <definedName name="wsHistoryChanges_add_Sheet_1">'История изменений ВО'!$33:$34</definedName>
    <definedName name="wsHistoryChanges_Blocks">'История изменений ВО'!$AC$23</definedName>
    <definedName name="wsHistoryChanges_Cells">'История изменений ВО'!$AG$23</definedName>
    <definedName name="wsHistoryChanges_Different">'История изменений ВО'!$AJ$23</definedName>
    <definedName name="wsHistoryChanges_NewValue">'История изменений ВО'!$AI$23</definedName>
    <definedName name="wsHistoryChanges_OldValue">'История изменений ВО'!$AH$23</definedName>
    <definedName name="wsHistoryChanges_Sheets">'История изменений ВО'!$AE$23</definedName>
    <definedName name="YEAR">TEHSHEET!$K$3:$K$23</definedName>
    <definedName name="yellow_1_wsPSue">#REF!,#REF!,#REF!,#REF!,#REF!,#REF!</definedName>
    <definedName name="YES_NO">TEHSHEET!$D$2:$D$3</definedName>
  </definedNames>
  <calcPr calcId="191029"/>
</workbook>
</file>

<file path=xl/calcChain.xml><?xml version="1.0" encoding="utf-8"?>
<calcChain xmlns="http://schemas.openxmlformats.org/spreadsheetml/2006/main">
  <c r="L452" i="78" l="1"/>
  <c r="S452" i="78" s="1"/>
  <c r="L451" i="78"/>
  <c r="S451" i="78" s="1"/>
  <c r="L450" i="78"/>
  <c r="S450" i="78" s="1"/>
  <c r="L449" i="78"/>
  <c r="S449" i="78" s="1"/>
  <c r="L448" i="78"/>
  <c r="S448" i="78" s="1"/>
  <c r="L447" i="78"/>
  <c r="S447" i="78" s="1"/>
  <c r="L446" i="78"/>
  <c r="S446" i="78" s="1"/>
  <c r="L445" i="78"/>
  <c r="S445" i="78" s="1"/>
  <c r="L444" i="78"/>
  <c r="S444" i="78" s="1"/>
  <c r="L443" i="78"/>
  <c r="S443" i="78" s="1"/>
  <c r="L442" i="78"/>
  <c r="S442" i="78" s="1"/>
  <c r="L441" i="78"/>
  <c r="S441" i="78" s="1"/>
  <c r="L440" i="78"/>
  <c r="S440" i="78" s="1"/>
  <c r="L439" i="78"/>
  <c r="S439" i="78" s="1"/>
  <c r="L438" i="78"/>
  <c r="S438" i="78" s="1"/>
  <c r="L437" i="78"/>
  <c r="S437" i="78" s="1"/>
  <c r="L436" i="78"/>
  <c r="S436" i="78" s="1"/>
  <c r="L435" i="78"/>
  <c r="S435" i="78" s="1"/>
  <c r="D41" i="78"/>
  <c r="D40" i="78"/>
  <c r="D36" i="78"/>
  <c r="D35" i="78"/>
  <c r="D33" i="78"/>
  <c r="D32" i="78"/>
  <c r="D28" i="78"/>
  <c r="D27" i="78"/>
  <c r="CT43" i="68"/>
  <c r="CS43" i="68"/>
  <c r="CT42" i="68"/>
  <c r="CS42" i="68"/>
  <c r="CT41" i="68"/>
  <c r="CS41" i="68"/>
  <c r="CT40" i="68"/>
  <c r="CS40" i="68"/>
  <c r="CS39" i="68"/>
  <c r="AE39" i="68"/>
  <c r="AC39" i="68"/>
  <c r="AC40" i="68" s="1"/>
  <c r="B40" i="68" s="1"/>
  <c r="CS38" i="68"/>
  <c r="CB38" i="68"/>
  <c r="BV38" i="68"/>
  <c r="BQ38" i="68"/>
  <c r="BM38" i="68"/>
  <c r="BK38" i="68"/>
  <c r="AV38" i="68"/>
  <c r="AT38" i="68" s="1"/>
  <c r="BJ38" i="68" s="1"/>
  <c r="AP38" i="68"/>
  <c r="AH38" i="68"/>
  <c r="AM39" i="68" s="1"/>
  <c r="AE38" i="68"/>
  <c r="AC38" i="68"/>
  <c r="AB38" i="68"/>
  <c r="CT34" i="68"/>
  <c r="CS34" i="68"/>
  <c r="CT33" i="68"/>
  <c r="CV33" i="68" s="1"/>
  <c r="CS33" i="68"/>
  <c r="CT32" i="68"/>
  <c r="CS32" i="68"/>
  <c r="CS31" i="68"/>
  <c r="CR31" i="68"/>
  <c r="CT31" i="68" s="1"/>
  <c r="AC31" i="68"/>
  <c r="CS30" i="68"/>
  <c r="AM30" i="68"/>
  <c r="AC30" i="68"/>
  <c r="AE30" i="68" s="1"/>
  <c r="CS29" i="68"/>
  <c r="CR29" i="68"/>
  <c r="CT29" i="68" s="1"/>
  <c r="CV29" i="68" s="1"/>
  <c r="CB29" i="68"/>
  <c r="BV29" i="68"/>
  <c r="BQ29" i="68"/>
  <c r="BM29" i="68"/>
  <c r="BK29" i="68" s="1"/>
  <c r="CH29" i="68" s="1"/>
  <c r="CK29" i="68" s="1"/>
  <c r="CM29" i="68" s="1"/>
  <c r="CN29" i="68" s="1"/>
  <c r="AV29" i="68"/>
  <c r="AT29" i="68"/>
  <c r="AP29" i="68"/>
  <c r="BJ29" i="68" s="1"/>
  <c r="AH29" i="68"/>
  <c r="AB29" i="68"/>
  <c r="AB21" i="68"/>
  <c r="AM60" i="67"/>
  <c r="AF60" i="67"/>
  <c r="AE60" i="67"/>
  <c r="AM59" i="67"/>
  <c r="AF59" i="67"/>
  <c r="AE59" i="67"/>
  <c r="AM58" i="67"/>
  <c r="AF58" i="67"/>
  <c r="AE58" i="67"/>
  <c r="AM57" i="67"/>
  <c r="AF57" i="67"/>
  <c r="AE57" i="67"/>
  <c r="AB57" i="67"/>
  <c r="AM56" i="67"/>
  <c r="AF56" i="67"/>
  <c r="AE56" i="67"/>
  <c r="AB56" i="67"/>
  <c r="AD56" i="67" s="1"/>
  <c r="C56" i="67"/>
  <c r="C57" i="67" s="1"/>
  <c r="B56" i="67"/>
  <c r="CJ55" i="67"/>
  <c r="CE55" i="67"/>
  <c r="CD55" i="67"/>
  <c r="CC55" i="67"/>
  <c r="CC56" i="67" s="1"/>
  <c r="CB55" i="67"/>
  <c r="CA55" i="67"/>
  <c r="BZ55" i="67"/>
  <c r="BV55" i="67"/>
  <c r="BS55" i="67"/>
  <c r="BR55" i="67"/>
  <c r="BQ55" i="67"/>
  <c r="BP55" i="67" s="1"/>
  <c r="BO55" i="67"/>
  <c r="BM55" i="67"/>
  <c r="BE55" i="67"/>
  <c r="BD55" i="67"/>
  <c r="BC55" i="67"/>
  <c r="BC56" i="67" s="1"/>
  <c r="BB55" i="67"/>
  <c r="BA55" i="67"/>
  <c r="AZ55" i="67"/>
  <c r="AY55" i="67"/>
  <c r="AY56" i="67" s="1"/>
  <c r="AX55" i="67"/>
  <c r="AW55" i="67"/>
  <c r="AV55" i="67"/>
  <c r="AT55" i="67"/>
  <c r="AR55" i="67"/>
  <c r="AQ55" i="67"/>
  <c r="AP55" i="67"/>
  <c r="AM55" i="67"/>
  <c r="AF55" i="67"/>
  <c r="AE55" i="67"/>
  <c r="C55" i="67"/>
  <c r="B55" i="67"/>
  <c r="CJ54" i="67"/>
  <c r="CE54" i="67"/>
  <c r="CB54" i="67"/>
  <c r="BX54" i="67"/>
  <c r="BV54" i="67"/>
  <c r="BQ54" i="67"/>
  <c r="BM54" i="67"/>
  <c r="BG54" i="67"/>
  <c r="AM54" i="67"/>
  <c r="AF54" i="67"/>
  <c r="AE54" i="67"/>
  <c r="C54" i="67"/>
  <c r="C53" i="67" s="1"/>
  <c r="B53" i="67" s="1"/>
  <c r="CJ53" i="67"/>
  <c r="CE53" i="67"/>
  <c r="CA53" i="67"/>
  <c r="BV53" i="67"/>
  <c r="BQ53" i="67"/>
  <c r="BM53" i="67"/>
  <c r="BG53" i="67"/>
  <c r="AM53" i="67"/>
  <c r="AF53" i="67"/>
  <c r="AE53" i="67"/>
  <c r="CJ52" i="67"/>
  <c r="CE52" i="67"/>
  <c r="CD52" i="67"/>
  <c r="CC52" i="67"/>
  <c r="CB52" i="67"/>
  <c r="CA52" i="67"/>
  <c r="BZ52" i="67"/>
  <c r="BX52" i="67"/>
  <c r="BV52" i="67"/>
  <c r="BS52" i="67"/>
  <c r="BR52" i="67"/>
  <c r="BQ52" i="67"/>
  <c r="BP52" i="67" s="1"/>
  <c r="BO52" i="67"/>
  <c r="BM52" i="67"/>
  <c r="BE52" i="67"/>
  <c r="BD52" i="67"/>
  <c r="BC52" i="67"/>
  <c r="BB52" i="67"/>
  <c r="BA52" i="67"/>
  <c r="AZ52" i="67"/>
  <c r="AY52" i="67"/>
  <c r="AX52" i="67"/>
  <c r="AW52" i="67"/>
  <c r="AV52" i="67"/>
  <c r="AU52" i="67" s="1"/>
  <c r="AT52" i="67"/>
  <c r="AR52" i="67"/>
  <c r="AQ52" i="67"/>
  <c r="AP52" i="67"/>
  <c r="AO52" i="67" s="1"/>
  <c r="AM52" i="67"/>
  <c r="AL52" i="67"/>
  <c r="AF52" i="67"/>
  <c r="AE52" i="67"/>
  <c r="C52" i="67"/>
  <c r="CJ51" i="67"/>
  <c r="CE51" i="67"/>
  <c r="CD51" i="67"/>
  <c r="CC51" i="67"/>
  <c r="CB51" i="67"/>
  <c r="CA51" i="67"/>
  <c r="BZ51" i="67"/>
  <c r="BX51" i="67"/>
  <c r="BV51" i="67"/>
  <c r="BS51" i="67"/>
  <c r="BR51" i="67"/>
  <c r="BQ51" i="67"/>
  <c r="BP51" i="67"/>
  <c r="BO51" i="67"/>
  <c r="BM51" i="67"/>
  <c r="BJ51" i="67"/>
  <c r="BL51" i="67" s="1"/>
  <c r="BG51" i="67"/>
  <c r="BE51" i="67"/>
  <c r="BD51" i="67"/>
  <c r="BC51" i="67"/>
  <c r="BB51" i="67"/>
  <c r="BA51" i="67"/>
  <c r="AZ51" i="67"/>
  <c r="AY51" i="67"/>
  <c r="AX51" i="67"/>
  <c r="AW51" i="67"/>
  <c r="AV51" i="67"/>
  <c r="AU51" i="67" s="1"/>
  <c r="AT51" i="67"/>
  <c r="AR51" i="67"/>
  <c r="AQ51" i="67"/>
  <c r="AP51" i="67"/>
  <c r="AM51" i="67"/>
  <c r="AG51" i="67"/>
  <c r="AF51" i="67"/>
  <c r="AE51" i="67"/>
  <c r="CJ50" i="67"/>
  <c r="CE50" i="67"/>
  <c r="CD50" i="67"/>
  <c r="CC50" i="67"/>
  <c r="CB50" i="67"/>
  <c r="CA50" i="67"/>
  <c r="BZ50" i="67"/>
  <c r="BX50" i="67"/>
  <c r="BV50" i="67"/>
  <c r="BS50" i="67"/>
  <c r="BR50" i="67"/>
  <c r="BQ50" i="67"/>
  <c r="BO50" i="67"/>
  <c r="BM50" i="67"/>
  <c r="BJ50" i="67"/>
  <c r="BG50" i="67"/>
  <c r="BE50" i="67"/>
  <c r="BD50" i="67"/>
  <c r="BC50" i="67"/>
  <c r="BB50" i="67"/>
  <c r="BA50" i="67"/>
  <c r="AZ50" i="67"/>
  <c r="AY50" i="67"/>
  <c r="AX50" i="67"/>
  <c r="AW50" i="67"/>
  <c r="AV50" i="67"/>
  <c r="AT50" i="67"/>
  <c r="AR50" i="67"/>
  <c r="AQ50" i="67"/>
  <c r="AP50" i="67"/>
  <c r="AO50" i="67" s="1"/>
  <c r="AM50" i="67"/>
  <c r="AL50" i="67" s="1"/>
  <c r="AF50" i="67"/>
  <c r="AE50" i="67"/>
  <c r="CJ49" i="67"/>
  <c r="CE49" i="67"/>
  <c r="CD49" i="67"/>
  <c r="CC49" i="67"/>
  <c r="CB49" i="67"/>
  <c r="CA49" i="67"/>
  <c r="BZ49" i="67"/>
  <c r="BX49" i="67"/>
  <c r="BW49" i="67"/>
  <c r="BV49" i="67"/>
  <c r="BS49" i="67"/>
  <c r="BR49" i="67"/>
  <c r="BQ49" i="67"/>
  <c r="BO49" i="67"/>
  <c r="BM49" i="67"/>
  <c r="BJ49" i="67"/>
  <c r="BL49" i="67" s="1"/>
  <c r="BG49" i="67"/>
  <c r="BE49" i="67"/>
  <c r="BD49" i="67"/>
  <c r="BC49" i="67"/>
  <c r="BB49" i="67"/>
  <c r="BA49" i="67"/>
  <c r="AZ49" i="67"/>
  <c r="AY49" i="67"/>
  <c r="AX49" i="67"/>
  <c r="AW49" i="67"/>
  <c r="AV49" i="67"/>
  <c r="AT49" i="67"/>
  <c r="AR49" i="67"/>
  <c r="AQ49" i="67"/>
  <c r="AP49" i="67"/>
  <c r="AO49" i="67" s="1"/>
  <c r="AM49" i="67"/>
  <c r="AL49" i="67" s="1"/>
  <c r="AF49" i="67"/>
  <c r="AE49" i="67"/>
  <c r="CJ48" i="67"/>
  <c r="CE48" i="67"/>
  <c r="CD48" i="67"/>
  <c r="CC48" i="67"/>
  <c r="CB48" i="67"/>
  <c r="CA48" i="67"/>
  <c r="BZ48" i="67"/>
  <c r="BX48" i="67"/>
  <c r="BV48" i="67"/>
  <c r="BS48" i="67"/>
  <c r="BR48" i="67"/>
  <c r="BQ48" i="67"/>
  <c r="BP48" i="67" s="1"/>
  <c r="BO48" i="67"/>
  <c r="BM48" i="67"/>
  <c r="BJ48" i="67"/>
  <c r="BL48" i="67" s="1"/>
  <c r="BG48" i="67"/>
  <c r="BE48" i="67"/>
  <c r="BD48" i="67"/>
  <c r="BC48" i="67"/>
  <c r="BB48" i="67"/>
  <c r="BA48" i="67"/>
  <c r="AZ48" i="67"/>
  <c r="AY48" i="67"/>
  <c r="AX48" i="67"/>
  <c r="AW48" i="67"/>
  <c r="AV48" i="67"/>
  <c r="AU48" i="67" s="1"/>
  <c r="AT48" i="67"/>
  <c r="AR48" i="67"/>
  <c r="AQ48" i="67"/>
  <c r="AP48" i="67"/>
  <c r="AO48" i="67" s="1"/>
  <c r="AM48" i="67"/>
  <c r="AL48" i="67" s="1"/>
  <c r="AG48" i="67"/>
  <c r="AF48" i="67"/>
  <c r="AE48" i="67"/>
  <c r="B48" i="67"/>
  <c r="CJ47" i="67"/>
  <c r="CE47" i="67"/>
  <c r="CD47" i="67"/>
  <c r="CC47" i="67"/>
  <c r="CB47" i="67"/>
  <c r="CA47" i="67"/>
  <c r="BZ47" i="67"/>
  <c r="BX47" i="67"/>
  <c r="BW47" i="67"/>
  <c r="BV47" i="67"/>
  <c r="BS47" i="67"/>
  <c r="BR47" i="67"/>
  <c r="BQ47" i="67"/>
  <c r="BP47" i="67" s="1"/>
  <c r="BO47" i="67"/>
  <c r="BM47" i="67"/>
  <c r="BJ47" i="67"/>
  <c r="BL47" i="67" s="1"/>
  <c r="BG47" i="67"/>
  <c r="BE47" i="67"/>
  <c r="BD47" i="67"/>
  <c r="BC47" i="67"/>
  <c r="BB47" i="67"/>
  <c r="BA47" i="67"/>
  <c r="AZ47" i="67"/>
  <c r="AY47" i="67"/>
  <c r="AX47" i="67"/>
  <c r="AW47" i="67"/>
  <c r="AV47" i="67"/>
  <c r="AU47" i="67" s="1"/>
  <c r="AT47" i="67"/>
  <c r="AR47" i="67"/>
  <c r="AQ47" i="67"/>
  <c r="AP47" i="67"/>
  <c r="AM47" i="67"/>
  <c r="AL47" i="67" s="1"/>
  <c r="AG47" i="67"/>
  <c r="AF47" i="67"/>
  <c r="AE47" i="67"/>
  <c r="BU46" i="67"/>
  <c r="BP46" i="67"/>
  <c r="BJ46" i="67"/>
  <c r="AU46" i="67"/>
  <c r="AS46" i="67" s="1"/>
  <c r="AO46" i="67"/>
  <c r="AN46" i="67"/>
  <c r="AG46" i="67"/>
  <c r="AM42" i="67"/>
  <c r="AF42" i="67"/>
  <c r="AE42" i="67"/>
  <c r="AM41" i="67"/>
  <c r="AF41" i="67"/>
  <c r="AE41" i="67"/>
  <c r="AM40" i="67"/>
  <c r="AF40" i="67"/>
  <c r="AE40" i="67"/>
  <c r="AM39" i="67"/>
  <c r="AF39" i="67"/>
  <c r="AE39" i="67"/>
  <c r="AB39" i="67"/>
  <c r="AD39" i="67" s="1"/>
  <c r="AM38" i="67"/>
  <c r="AF38" i="67"/>
  <c r="AE38" i="67"/>
  <c r="AD38" i="67"/>
  <c r="AB38" i="67"/>
  <c r="C38" i="67"/>
  <c r="C37" i="67" s="1"/>
  <c r="CJ37" i="67"/>
  <c r="CE37" i="67"/>
  <c r="CD37" i="67"/>
  <c r="CC37" i="67"/>
  <c r="CB37" i="67"/>
  <c r="CA37" i="67"/>
  <c r="BZ37" i="67"/>
  <c r="BV37" i="67"/>
  <c r="BS37" i="67"/>
  <c r="BR37" i="67"/>
  <c r="BQ37" i="67"/>
  <c r="BO37" i="67"/>
  <c r="BM37" i="67"/>
  <c r="BE37" i="67"/>
  <c r="BD37" i="67"/>
  <c r="BC37" i="67"/>
  <c r="BB37" i="67"/>
  <c r="BA37" i="67"/>
  <c r="AZ37" i="67"/>
  <c r="AY37" i="67"/>
  <c r="AX37" i="67"/>
  <c r="AW37" i="67"/>
  <c r="AV37" i="67"/>
  <c r="AT37" i="67"/>
  <c r="AR37" i="67"/>
  <c r="AQ37" i="67"/>
  <c r="AP37" i="67"/>
  <c r="AO37" i="67" s="1"/>
  <c r="AM37" i="67"/>
  <c r="AF37" i="67"/>
  <c r="AE37" i="67"/>
  <c r="AB37" i="67"/>
  <c r="CJ36" i="67"/>
  <c r="CE36" i="67"/>
  <c r="CB36" i="67"/>
  <c r="BX36" i="67"/>
  <c r="BV36" i="67"/>
  <c r="BQ36" i="67"/>
  <c r="BM36" i="67"/>
  <c r="BG36" i="67"/>
  <c r="AM36" i="67"/>
  <c r="AF36" i="67"/>
  <c r="AE36" i="67"/>
  <c r="CJ35" i="67"/>
  <c r="CE35" i="67"/>
  <c r="CA35" i="67"/>
  <c r="BV35" i="67"/>
  <c r="BQ35" i="67"/>
  <c r="BM35" i="67"/>
  <c r="BG35" i="67"/>
  <c r="AM35" i="67"/>
  <c r="AF35" i="67"/>
  <c r="AE35" i="67"/>
  <c r="CJ34" i="67"/>
  <c r="CE34" i="67"/>
  <c r="CD34" i="67"/>
  <c r="CC34" i="67"/>
  <c r="CB34" i="67"/>
  <c r="CA34" i="67"/>
  <c r="BZ34" i="67"/>
  <c r="BX34" i="67"/>
  <c r="BV34" i="67"/>
  <c r="BS34" i="67"/>
  <c r="BR34" i="67"/>
  <c r="BQ34" i="67"/>
  <c r="BP34" i="67" s="1"/>
  <c r="BO34" i="67"/>
  <c r="BM34" i="67"/>
  <c r="BE34" i="67"/>
  <c r="BD34" i="67"/>
  <c r="BC34" i="67"/>
  <c r="BB34" i="67"/>
  <c r="BA34" i="67"/>
  <c r="AZ34" i="67"/>
  <c r="AY34" i="67"/>
  <c r="AX34" i="67"/>
  <c r="AW34" i="67"/>
  <c r="AV34" i="67"/>
  <c r="AU34" i="67" s="1"/>
  <c r="AT34" i="67"/>
  <c r="AR34" i="67"/>
  <c r="AQ34" i="67"/>
  <c r="AP34" i="67"/>
  <c r="AO34" i="67" s="1"/>
  <c r="AM34" i="67"/>
  <c r="AL34" i="67" s="1"/>
  <c r="AF34" i="67"/>
  <c r="AE34" i="67"/>
  <c r="CJ33" i="67"/>
  <c r="CE33" i="67"/>
  <c r="CD33" i="67"/>
  <c r="CC33" i="67"/>
  <c r="CB33" i="67"/>
  <c r="CA33" i="67"/>
  <c r="BZ33" i="67"/>
  <c r="BX33" i="67"/>
  <c r="BV33" i="67"/>
  <c r="BS33" i="67"/>
  <c r="BR33" i="67"/>
  <c r="BQ33" i="67"/>
  <c r="BP33" i="67" s="1"/>
  <c r="BO33" i="67"/>
  <c r="BM33" i="67"/>
  <c r="BJ33" i="67"/>
  <c r="BL33" i="67" s="1"/>
  <c r="BG33" i="67"/>
  <c r="BE33" i="67"/>
  <c r="BD33" i="67"/>
  <c r="BC33" i="67"/>
  <c r="BB33" i="67"/>
  <c r="BA33" i="67"/>
  <c r="AZ33" i="67"/>
  <c r="AY33" i="67"/>
  <c r="AX33" i="67"/>
  <c r="AW33" i="67"/>
  <c r="AV33" i="67"/>
  <c r="AU33" i="67" s="1"/>
  <c r="AT33" i="67"/>
  <c r="AR33" i="67"/>
  <c r="AQ33" i="67"/>
  <c r="AP33" i="67"/>
  <c r="AM33" i="67"/>
  <c r="AG33" i="67"/>
  <c r="AF33" i="67"/>
  <c r="AE33" i="67"/>
  <c r="CJ32" i="67"/>
  <c r="CE32" i="67"/>
  <c r="CD32" i="67"/>
  <c r="CC32" i="67"/>
  <c r="CB32" i="67"/>
  <c r="CA32" i="67"/>
  <c r="BZ32" i="67"/>
  <c r="BX32" i="67"/>
  <c r="BV32" i="67"/>
  <c r="BS32" i="67"/>
  <c r="BR32" i="67"/>
  <c r="BQ32" i="67"/>
  <c r="BP32" i="67" s="1"/>
  <c r="BO32" i="67"/>
  <c r="BM32" i="67"/>
  <c r="BJ32" i="67"/>
  <c r="BG32" i="67"/>
  <c r="BE32" i="67"/>
  <c r="BD32" i="67"/>
  <c r="BC32" i="67"/>
  <c r="BB32" i="67"/>
  <c r="BA32" i="67"/>
  <c r="AZ32" i="67"/>
  <c r="AY32" i="67"/>
  <c r="AX32" i="67"/>
  <c r="AW32" i="67"/>
  <c r="AV32" i="67"/>
  <c r="AT32" i="67"/>
  <c r="AR32" i="67"/>
  <c r="AQ32" i="67"/>
  <c r="AP32" i="67"/>
  <c r="AO32" i="67" s="1"/>
  <c r="AM32" i="67"/>
  <c r="AF32" i="67"/>
  <c r="AE32" i="67"/>
  <c r="CJ31" i="67"/>
  <c r="CE31" i="67"/>
  <c r="CD31" i="67"/>
  <c r="CC31" i="67"/>
  <c r="CB31" i="67"/>
  <c r="CA31" i="67"/>
  <c r="BZ31" i="67"/>
  <c r="BX31" i="67"/>
  <c r="BW31" i="67"/>
  <c r="BV31" i="67"/>
  <c r="BS31" i="67"/>
  <c r="BR31" i="67"/>
  <c r="BQ31" i="67"/>
  <c r="BO31" i="67"/>
  <c r="BM31" i="67"/>
  <c r="BJ31" i="67"/>
  <c r="BL31" i="67" s="1"/>
  <c r="BG31" i="67"/>
  <c r="BE31" i="67"/>
  <c r="BD31" i="67"/>
  <c r="BC31" i="67"/>
  <c r="BB31" i="67"/>
  <c r="BA31" i="67"/>
  <c r="AZ31" i="67"/>
  <c r="AY31" i="67"/>
  <c r="AX31" i="67"/>
  <c r="AW31" i="67"/>
  <c r="AV31" i="67"/>
  <c r="AT31" i="67"/>
  <c r="AR31" i="67"/>
  <c r="AQ31" i="67"/>
  <c r="AP31" i="67"/>
  <c r="AO31" i="67" s="1"/>
  <c r="AM31" i="67"/>
  <c r="AL31" i="67" s="1"/>
  <c r="AL32" i="67" s="1"/>
  <c r="AF31" i="67"/>
  <c r="AE31" i="67"/>
  <c r="CJ30" i="67"/>
  <c r="CD30" i="67"/>
  <c r="CC30" i="67"/>
  <c r="CB30" i="67"/>
  <c r="CA30" i="67"/>
  <c r="BZ30" i="67"/>
  <c r="BX30" i="67"/>
  <c r="BV30" i="67"/>
  <c r="BS30" i="67"/>
  <c r="BR30" i="67"/>
  <c r="BQ30" i="67"/>
  <c r="BP30" i="67" s="1"/>
  <c r="BO30" i="67"/>
  <c r="BM30" i="67"/>
  <c r="BJ30" i="67"/>
  <c r="BL30" i="67" s="1"/>
  <c r="BG30" i="67"/>
  <c r="BE30" i="67"/>
  <c r="BD30" i="67"/>
  <c r="BC30" i="67"/>
  <c r="BB30" i="67"/>
  <c r="BA30" i="67"/>
  <c r="AZ30" i="67"/>
  <c r="AY30" i="67"/>
  <c r="AX30" i="67"/>
  <c r="AW30" i="67"/>
  <c r="AV30" i="67"/>
  <c r="AU30" i="67" s="1"/>
  <c r="AT30" i="67"/>
  <c r="AR30" i="67"/>
  <c r="AQ30" i="67"/>
  <c r="AP30" i="67"/>
  <c r="AM30" i="67"/>
  <c r="AL30" i="67" s="1"/>
  <c r="AG30" i="67"/>
  <c r="AF30" i="67"/>
  <c r="AE30" i="67"/>
  <c r="B30" i="67"/>
  <c r="CJ29" i="67"/>
  <c r="CE29" i="67"/>
  <c r="CD29" i="67"/>
  <c r="CC29" i="67"/>
  <c r="CB29" i="67"/>
  <c r="CA29" i="67"/>
  <c r="BZ29" i="67"/>
  <c r="BX29" i="67"/>
  <c r="BW29" i="67"/>
  <c r="BV29" i="67"/>
  <c r="BS29" i="67"/>
  <c r="BR29" i="67"/>
  <c r="BQ29" i="67"/>
  <c r="BO29" i="67"/>
  <c r="BM29" i="67"/>
  <c r="BJ29" i="67"/>
  <c r="BG29" i="67"/>
  <c r="BE29" i="67"/>
  <c r="BD29" i="67"/>
  <c r="BC29" i="67"/>
  <c r="BB29" i="67"/>
  <c r="BA29" i="67"/>
  <c r="AZ29" i="67"/>
  <c r="AY29" i="67"/>
  <c r="AX29" i="67"/>
  <c r="AW29" i="67"/>
  <c r="AV29" i="67"/>
  <c r="AU29" i="67" s="1"/>
  <c r="AT29" i="67"/>
  <c r="AR29" i="67"/>
  <c r="AQ29" i="67"/>
  <c r="AP29" i="67"/>
  <c r="AO29" i="67" s="1"/>
  <c r="AM29" i="67"/>
  <c r="AL29" i="67" s="1"/>
  <c r="AH29" i="67"/>
  <c r="AF29" i="67"/>
  <c r="AE29" i="67"/>
  <c r="AE28" i="67" s="1"/>
  <c r="CG28" i="67"/>
  <c r="BU28" i="67"/>
  <c r="BP28" i="67"/>
  <c r="BJ28" i="67"/>
  <c r="AU28" i="67"/>
  <c r="AS28" i="67" s="1"/>
  <c r="AO28" i="67"/>
  <c r="AK28" i="67"/>
  <c r="AK29" i="67" s="1"/>
  <c r="AJ28" i="67"/>
  <c r="AB21" i="67"/>
  <c r="AM89" i="66"/>
  <c r="AL89" i="66"/>
  <c r="AK89" i="66"/>
  <c r="AJ89" i="66"/>
  <c r="AI89" i="66"/>
  <c r="AH89" i="66"/>
  <c r="AG89" i="66"/>
  <c r="AF89" i="66"/>
  <c r="AE89" i="66"/>
  <c r="AM60" i="66"/>
  <c r="AG60" i="66"/>
  <c r="AM59" i="66"/>
  <c r="AG59" i="66"/>
  <c r="AM58" i="66"/>
  <c r="AM57" i="66" s="1"/>
  <c r="AG58" i="66"/>
  <c r="AM55" i="66"/>
  <c r="AG55" i="66"/>
  <c r="AM54" i="66"/>
  <c r="AG54" i="66"/>
  <c r="AM52" i="66"/>
  <c r="AG52" i="66"/>
  <c r="AM50" i="66"/>
  <c r="AL50" i="66"/>
  <c r="AK50" i="66"/>
  <c r="AG50" i="66"/>
  <c r="AF50" i="66" s="1"/>
  <c r="AM49" i="66"/>
  <c r="AG49" i="66"/>
  <c r="AM47" i="66"/>
  <c r="AG47" i="66"/>
  <c r="AM45" i="66"/>
  <c r="AG45" i="66"/>
  <c r="AM43" i="66"/>
  <c r="AG43" i="66"/>
  <c r="AM42" i="66"/>
  <c r="AK42" i="66" s="1"/>
  <c r="AG42" i="66"/>
  <c r="AL36" i="66"/>
  <c r="AL37" i="66" s="1"/>
  <c r="AK36" i="66"/>
  <c r="AK37" i="66" s="1"/>
  <c r="AF36" i="66"/>
  <c r="AI36" i="66" s="1"/>
  <c r="AI37" i="66" s="1"/>
  <c r="AE36" i="66"/>
  <c r="AH36" i="66" s="1"/>
  <c r="AH37" i="66" s="1"/>
  <c r="AM33" i="66"/>
  <c r="AF33" i="66"/>
  <c r="AE33" i="66"/>
  <c r="AH33" i="66" s="1"/>
  <c r="AJ29" i="66"/>
  <c r="AG29" i="66"/>
  <c r="AE29" i="66" s="1"/>
  <c r="AK28" i="66"/>
  <c r="AL28" i="66" s="1"/>
  <c r="AG28" i="66"/>
  <c r="AE28" i="66"/>
  <c r="AE53" i="66" s="1"/>
  <c r="AH53" i="66" s="1"/>
  <c r="AK24" i="66"/>
  <c r="AH24" i="66"/>
  <c r="AE24" i="66"/>
  <c r="AB21" i="66"/>
  <c r="AM73" i="62"/>
  <c r="AJ73" i="62"/>
  <c r="AE73" i="62"/>
  <c r="B73" i="62"/>
  <c r="J72" i="62"/>
  <c r="B72" i="62"/>
  <c r="B71" i="62"/>
  <c r="AB70" i="62"/>
  <c r="J70" i="62"/>
  <c r="J73" i="62" s="1"/>
  <c r="I70" i="62"/>
  <c r="B70" i="62"/>
  <c r="AM69" i="62"/>
  <c r="AJ69" i="62"/>
  <c r="AG69" i="62"/>
  <c r="AM67" i="62"/>
  <c r="AJ67" i="62"/>
  <c r="AE67" i="62"/>
  <c r="J67" i="62"/>
  <c r="B67" i="62"/>
  <c r="J66" i="62"/>
  <c r="I66" i="62"/>
  <c r="B66" i="62"/>
  <c r="B65" i="62"/>
  <c r="AB64" i="62"/>
  <c r="J64" i="62"/>
  <c r="J65" i="62" s="1"/>
  <c r="I64" i="62"/>
  <c r="I67" i="62" s="1"/>
  <c r="B64" i="62"/>
  <c r="AM63" i="62"/>
  <c r="AJ63" i="62"/>
  <c r="AG63" i="62"/>
  <c r="AM61" i="62"/>
  <c r="AM57" i="62" s="1"/>
  <c r="AJ61" i="62"/>
  <c r="AE61" i="62"/>
  <c r="J61" i="62"/>
  <c r="I61" i="62"/>
  <c r="B61" i="62"/>
  <c r="I60" i="62"/>
  <c r="B60" i="62"/>
  <c r="B59" i="62"/>
  <c r="AB58" i="62"/>
  <c r="J58" i="62"/>
  <c r="J59" i="62" s="1"/>
  <c r="I58" i="62"/>
  <c r="I59" i="62" s="1"/>
  <c r="B58" i="62"/>
  <c r="AJ57" i="62"/>
  <c r="AG57" i="62"/>
  <c r="AM55" i="62"/>
  <c r="AJ55" i="62"/>
  <c r="AJ52" i="62" s="1"/>
  <c r="AE55" i="62"/>
  <c r="J55" i="62"/>
  <c r="I55" i="62"/>
  <c r="B55" i="62"/>
  <c r="B54" i="62"/>
  <c r="AB53" i="62"/>
  <c r="J53" i="62"/>
  <c r="J54" i="62" s="1"/>
  <c r="I53" i="62"/>
  <c r="I54" i="62" s="1"/>
  <c r="B53" i="62"/>
  <c r="AM52" i="62"/>
  <c r="AG52" i="62"/>
  <c r="AM50" i="62"/>
  <c r="AM45" i="62" s="1"/>
  <c r="AJ50" i="62"/>
  <c r="AJ45" i="62" s="1"/>
  <c r="AE50" i="62"/>
  <c r="B50" i="62"/>
  <c r="B49" i="62"/>
  <c r="J48" i="62"/>
  <c r="B48" i="62"/>
  <c r="B47" i="62"/>
  <c r="AB46" i="62"/>
  <c r="J46" i="62"/>
  <c r="J49" i="62" s="1"/>
  <c r="I46" i="62"/>
  <c r="B46" i="62"/>
  <c r="AG45" i="62"/>
  <c r="AM43" i="62"/>
  <c r="AJ43" i="62"/>
  <c r="AJ38" i="62" s="1"/>
  <c r="AJ37" i="62" s="1"/>
  <c r="AE43" i="62"/>
  <c r="J43" i="62"/>
  <c r="B43" i="62"/>
  <c r="J42" i="62"/>
  <c r="I42" i="62"/>
  <c r="B42" i="62"/>
  <c r="J41" i="62"/>
  <c r="I41" i="62"/>
  <c r="B41" i="62"/>
  <c r="B40" i="62"/>
  <c r="AB39" i="62"/>
  <c r="J39" i="62"/>
  <c r="J40" i="62" s="1"/>
  <c r="I39" i="62"/>
  <c r="I43" i="62" s="1"/>
  <c r="B39" i="62"/>
  <c r="AM38" i="62"/>
  <c r="AG38" i="62"/>
  <c r="AG37" i="62" s="1"/>
  <c r="AE26" i="62" s="1"/>
  <c r="AE28" i="62" s="1"/>
  <c r="AE31" i="62" s="1"/>
  <c r="AD32" i="62"/>
  <c r="AD30" i="62"/>
  <c r="AD29" i="62"/>
  <c r="AD28" i="62"/>
  <c r="AD27" i="62"/>
  <c r="AM81" i="61"/>
  <c r="AJ81" i="61"/>
  <c r="AJ79" i="61" s="1"/>
  <c r="AE81" i="61"/>
  <c r="B81" i="61"/>
  <c r="AB80" i="61"/>
  <c r="J80" i="61"/>
  <c r="J81" i="61" s="1"/>
  <c r="I80" i="61"/>
  <c r="I81" i="61" s="1"/>
  <c r="B80" i="61"/>
  <c r="AM79" i="61"/>
  <c r="AG79" i="61"/>
  <c r="AM77" i="61"/>
  <c r="AJ77" i="61"/>
  <c r="AJ73" i="61" s="1"/>
  <c r="AE77" i="61"/>
  <c r="I77" i="61"/>
  <c r="B77" i="61"/>
  <c r="I76" i="61"/>
  <c r="B76" i="61"/>
  <c r="B75" i="61"/>
  <c r="AB74" i="61"/>
  <c r="J74" i="61"/>
  <c r="J75" i="61" s="1"/>
  <c r="I74" i="61"/>
  <c r="I75" i="61" s="1"/>
  <c r="B74" i="61"/>
  <c r="AM73" i="61"/>
  <c r="AG73" i="61"/>
  <c r="AM71" i="61"/>
  <c r="AJ71" i="61"/>
  <c r="AE71" i="61"/>
  <c r="B71" i="61"/>
  <c r="J70" i="61"/>
  <c r="B70" i="61"/>
  <c r="B69" i="61"/>
  <c r="AB68" i="61"/>
  <c r="J68" i="61"/>
  <c r="J71" i="61" s="1"/>
  <c r="I68" i="61"/>
  <c r="B68" i="61"/>
  <c r="AM67" i="61"/>
  <c r="AJ67" i="61"/>
  <c r="AG67" i="61"/>
  <c r="AM65" i="61"/>
  <c r="AJ65" i="61"/>
  <c r="AE65" i="61"/>
  <c r="J65" i="61"/>
  <c r="B65" i="61"/>
  <c r="J64" i="61"/>
  <c r="I64" i="61"/>
  <c r="B64" i="61"/>
  <c r="B63" i="61"/>
  <c r="AB62" i="61"/>
  <c r="J62" i="61"/>
  <c r="J63" i="61" s="1"/>
  <c r="I62" i="61"/>
  <c r="I65" i="61" s="1"/>
  <c r="B62" i="61"/>
  <c r="AM61" i="61"/>
  <c r="AJ61" i="61"/>
  <c r="AG61" i="61"/>
  <c r="AM59" i="61"/>
  <c r="AM56" i="61" s="1"/>
  <c r="AJ59" i="61"/>
  <c r="AE59" i="61"/>
  <c r="J59" i="61"/>
  <c r="I59" i="61"/>
  <c r="B59" i="61"/>
  <c r="B58" i="61"/>
  <c r="AB57" i="61"/>
  <c r="J57" i="61"/>
  <c r="J58" i="61" s="1"/>
  <c r="I57" i="61"/>
  <c r="I58" i="61" s="1"/>
  <c r="B57" i="61"/>
  <c r="AJ56" i="61"/>
  <c r="AG56" i="61"/>
  <c r="AM54" i="61"/>
  <c r="AM49" i="61" s="1"/>
  <c r="AJ54" i="61"/>
  <c r="AE54" i="61"/>
  <c r="I54" i="61"/>
  <c r="B54" i="61"/>
  <c r="I53" i="61"/>
  <c r="B53" i="61"/>
  <c r="I52" i="61"/>
  <c r="B52" i="61"/>
  <c r="J51" i="61"/>
  <c r="B51" i="61"/>
  <c r="AB50" i="61"/>
  <c r="J50" i="61"/>
  <c r="I50" i="61"/>
  <c r="I51" i="61" s="1"/>
  <c r="B50" i="61"/>
  <c r="AJ49" i="61"/>
  <c r="AG49" i="61"/>
  <c r="AM47" i="61"/>
  <c r="AM42" i="61" s="1"/>
  <c r="AM41" i="61" s="1"/>
  <c r="AJ47" i="61"/>
  <c r="AJ42" i="61" s="1"/>
  <c r="AE47" i="61"/>
  <c r="B47" i="61"/>
  <c r="J46" i="61"/>
  <c r="B46" i="61"/>
  <c r="J45" i="61"/>
  <c r="I45" i="61"/>
  <c r="B45" i="61"/>
  <c r="B44" i="61"/>
  <c r="AB43" i="61"/>
  <c r="J43" i="61"/>
  <c r="J47" i="61" s="1"/>
  <c r="I43" i="61"/>
  <c r="I46" i="61" s="1"/>
  <c r="B43" i="61"/>
  <c r="AG42" i="61"/>
  <c r="AM40" i="61"/>
  <c r="AJ40" i="61"/>
  <c r="AJ37" i="61" s="1"/>
  <c r="AE40" i="61"/>
  <c r="AM39" i="61"/>
  <c r="AJ39" i="61"/>
  <c r="AE39" i="61"/>
  <c r="AM38" i="61"/>
  <c r="AJ38" i="61"/>
  <c r="AE38" i="61"/>
  <c r="AM37" i="61"/>
  <c r="AL37" i="61"/>
  <c r="AK37" i="61"/>
  <c r="AI37" i="61"/>
  <c r="AH37" i="61"/>
  <c r="AG37" i="61"/>
  <c r="AF37" i="61"/>
  <c r="AE37" i="61"/>
  <c r="AD32" i="61"/>
  <c r="AD30" i="61"/>
  <c r="AD29" i="61"/>
  <c r="AD28" i="61"/>
  <c r="AD27" i="61"/>
  <c r="X434" i="57"/>
  <c r="V434" i="57"/>
  <c r="Q434" i="57"/>
  <c r="O434" i="57"/>
  <c r="N434" i="57"/>
  <c r="L434" i="57"/>
  <c r="K434" i="57"/>
  <c r="I434" i="57"/>
  <c r="U423" i="57"/>
  <c r="P423" i="57"/>
  <c r="M423" i="57"/>
  <c r="H423" i="57"/>
  <c r="U416" i="57"/>
  <c r="P416" i="57"/>
  <c r="M416" i="57"/>
  <c r="H416" i="57"/>
  <c r="U409" i="57"/>
  <c r="P409" i="57"/>
  <c r="M409" i="57"/>
  <c r="H409" i="57"/>
  <c r="U402" i="57"/>
  <c r="P402" i="57"/>
  <c r="M402" i="57"/>
  <c r="H402" i="57"/>
  <c r="U396" i="57"/>
  <c r="P396" i="57"/>
  <c r="M396" i="57"/>
  <c r="H396" i="57"/>
  <c r="U388" i="57"/>
  <c r="P388" i="57"/>
  <c r="M388" i="57"/>
  <c r="H388" i="57"/>
  <c r="U380" i="57"/>
  <c r="P380" i="57"/>
  <c r="M380" i="57"/>
  <c r="H380" i="57"/>
  <c r="U375" i="57"/>
  <c r="P375" i="57"/>
  <c r="M375" i="57"/>
  <c r="H375" i="57"/>
  <c r="U368" i="57"/>
  <c r="P368" i="57"/>
  <c r="M368" i="57"/>
  <c r="H368" i="57"/>
  <c r="U361" i="57"/>
  <c r="P361" i="57"/>
  <c r="M361" i="57"/>
  <c r="H361" i="57"/>
  <c r="U354" i="57"/>
  <c r="P354" i="57"/>
  <c r="M354" i="57"/>
  <c r="H354" i="57"/>
  <c r="U348" i="57"/>
  <c r="P348" i="57"/>
  <c r="M348" i="57"/>
  <c r="H348" i="57"/>
  <c r="U340" i="57"/>
  <c r="P340" i="57"/>
  <c r="M340" i="57"/>
  <c r="H340" i="57"/>
  <c r="U320" i="57"/>
  <c r="U316" i="57"/>
  <c r="W312" i="57"/>
  <c r="V312" i="57"/>
  <c r="U312" i="57"/>
  <c r="T312" i="57"/>
  <c r="S312" i="57"/>
  <c r="N312" i="57"/>
  <c r="W311" i="57"/>
  <c r="V311" i="57"/>
  <c r="U311" i="57"/>
  <c r="T311" i="57"/>
  <c r="X311" i="57" s="1"/>
  <c r="S311" i="57"/>
  <c r="N311" i="57"/>
  <c r="W302" i="57"/>
  <c r="V302" i="57"/>
  <c r="U302" i="57"/>
  <c r="T302" i="57"/>
  <c r="X302" i="57" s="1"/>
  <c r="S302" i="57"/>
  <c r="N302" i="57"/>
  <c r="W301" i="57"/>
  <c r="V301" i="57"/>
  <c r="U301" i="57"/>
  <c r="T301" i="57"/>
  <c r="X301" i="57" s="1"/>
  <c r="S301" i="57"/>
  <c r="N301" i="57"/>
  <c r="W296" i="57"/>
  <c r="V296" i="57"/>
  <c r="U296" i="57"/>
  <c r="T296" i="57"/>
  <c r="S296" i="57"/>
  <c r="N296" i="57"/>
  <c r="W292" i="57"/>
  <c r="V292" i="57"/>
  <c r="U292" i="57"/>
  <c r="T292" i="57"/>
  <c r="X292" i="57" s="1"/>
  <c r="S292" i="57"/>
  <c r="N292" i="57"/>
  <c r="W275" i="57"/>
  <c r="V275" i="57"/>
  <c r="U275" i="57"/>
  <c r="T275" i="57"/>
  <c r="S275" i="57"/>
  <c r="N275" i="57"/>
  <c r="W274" i="57"/>
  <c r="V274" i="57"/>
  <c r="U274" i="57"/>
  <c r="T274" i="57"/>
  <c r="X274" i="57" s="1"/>
  <c r="S274" i="57"/>
  <c r="N274" i="57"/>
  <c r="W265" i="57"/>
  <c r="V265" i="57"/>
  <c r="U265" i="57"/>
  <c r="T265" i="57"/>
  <c r="S265" i="57"/>
  <c r="N265" i="57"/>
  <c r="W264" i="57"/>
  <c r="V264" i="57"/>
  <c r="U264" i="57"/>
  <c r="T264" i="57"/>
  <c r="X264" i="57" s="1"/>
  <c r="S264" i="57"/>
  <c r="N264" i="57"/>
  <c r="W259" i="57"/>
  <c r="V259" i="57"/>
  <c r="U259" i="57"/>
  <c r="T259" i="57"/>
  <c r="X259" i="57" s="1"/>
  <c r="S259" i="57"/>
  <c r="N259" i="57"/>
  <c r="W255" i="57"/>
  <c r="V255" i="57"/>
  <c r="U255" i="57"/>
  <c r="T255" i="57"/>
  <c r="S255" i="57"/>
  <c r="N255" i="57"/>
  <c r="AE251" i="57"/>
  <c r="AC251" i="57"/>
  <c r="AB251" i="57"/>
  <c r="AA251" i="57"/>
  <c r="Y251" i="57"/>
  <c r="X251" i="57"/>
  <c r="V251" i="57"/>
  <c r="U251" i="57"/>
  <c r="S251" i="57"/>
  <c r="R251" i="57"/>
  <c r="P251" i="57"/>
  <c r="O251" i="57"/>
  <c r="N251" i="57"/>
  <c r="M251" i="57"/>
  <c r="J251" i="57"/>
  <c r="M250" i="57"/>
  <c r="BK246" i="57"/>
  <c r="BF246" i="57"/>
  <c r="BD246" i="57"/>
  <c r="BC246" i="57"/>
  <c r="BG246" i="57" s="1"/>
  <c r="BB246" i="57"/>
  <c r="BA246" i="57"/>
  <c r="BI246" i="57" s="1"/>
  <c r="AX246" i="57"/>
  <c r="AZ246" i="57" s="1"/>
  <c r="AU246" i="57"/>
  <c r="AV246" i="57" s="1"/>
  <c r="AW246" i="57" s="1"/>
  <c r="AP246" i="57"/>
  <c r="AN246" i="57"/>
  <c r="AK246" i="57"/>
  <c r="AI246" i="57"/>
  <c r="AH246" i="57"/>
  <c r="AG246" i="57" s="1"/>
  <c r="AF246" i="57"/>
  <c r="AC246" i="57"/>
  <c r="AB246" i="57"/>
  <c r="Z246" i="57"/>
  <c r="BE246" i="57" s="1"/>
  <c r="K246" i="57"/>
  <c r="BL235" i="57"/>
  <c r="BK235" i="57"/>
  <c r="BI235" i="57"/>
  <c r="BH235" i="57"/>
  <c r="BG235" i="57"/>
  <c r="BF235" i="57"/>
  <c r="BE235" i="57"/>
  <c r="AW235" i="57"/>
  <c r="AY235" i="57" s="1"/>
  <c r="AL235" i="57"/>
  <c r="AG235" i="57" s="1"/>
  <c r="AJ235" i="57"/>
  <c r="AD235" i="57"/>
  <c r="AC230" i="57"/>
  <c r="AA230" i="57"/>
  <c r="AB218" i="57"/>
  <c r="Z218" i="57"/>
  <c r="Y218" i="57"/>
  <c r="W218" i="57"/>
  <c r="V218" i="57"/>
  <c r="U218" i="57"/>
  <c r="T218" i="57"/>
  <c r="R218" i="57"/>
  <c r="Q218" i="57"/>
  <c r="O218" i="57"/>
  <c r="G218" i="57"/>
  <c r="G213" i="57"/>
  <c r="W209" i="57"/>
  <c r="W205" i="57"/>
  <c r="P196" i="57"/>
  <c r="M196" i="57"/>
  <c r="AQ188" i="57"/>
  <c r="AG188" i="57"/>
  <c r="W188" i="57"/>
  <c r="P188" i="57"/>
  <c r="G176" i="57"/>
  <c r="AB174" i="57"/>
  <c r="Z174" i="57"/>
  <c r="Y174" i="57"/>
  <c r="W174" i="57"/>
  <c r="V174" i="57"/>
  <c r="G173" i="57"/>
  <c r="AE170" i="57"/>
  <c r="AB170" i="57"/>
  <c r="Z170" i="57"/>
  <c r="Y170" i="57"/>
  <c r="W170" i="57"/>
  <c r="V170" i="57"/>
  <c r="V158" i="57" s="1"/>
  <c r="T170" i="57"/>
  <c r="S170" i="57"/>
  <c r="Q170" i="57"/>
  <c r="P170" i="57"/>
  <c r="N170" i="57"/>
  <c r="M170" i="57"/>
  <c r="L170" i="57"/>
  <c r="J170" i="57"/>
  <c r="G170" i="57"/>
  <c r="G172" i="57" s="1"/>
  <c r="AE167" i="57"/>
  <c r="AE164" i="57" s="1"/>
  <c r="AB167" i="57"/>
  <c r="Z167" i="57"/>
  <c r="Y167" i="57"/>
  <c r="Y164" i="57" s="1"/>
  <c r="W167" i="57"/>
  <c r="W164" i="57" s="1"/>
  <c r="V167" i="57"/>
  <c r="T167" i="57"/>
  <c r="S167" i="57"/>
  <c r="S164" i="57" s="1"/>
  <c r="Q167" i="57"/>
  <c r="Q164" i="57" s="1"/>
  <c r="P167" i="57"/>
  <c r="N167" i="57"/>
  <c r="M167" i="57"/>
  <c r="M164" i="57" s="1"/>
  <c r="L167" i="57"/>
  <c r="L164" i="57" s="1"/>
  <c r="J167" i="57"/>
  <c r="Q166" i="57"/>
  <c r="M166" i="57"/>
  <c r="AB165" i="57"/>
  <c r="Z165" i="57"/>
  <c r="Y165" i="57"/>
  <c r="Y162" i="57" s="1"/>
  <c r="Y159" i="57" s="1"/>
  <c r="W165" i="57"/>
  <c r="W162" i="57" s="1"/>
  <c r="V165" i="57"/>
  <c r="Q165" i="57"/>
  <c r="M165" i="57"/>
  <c r="AB164" i="57"/>
  <c r="Z164" i="57"/>
  <c r="V164" i="57"/>
  <c r="T164" i="57"/>
  <c r="P164" i="57"/>
  <c r="N164" i="57"/>
  <c r="J164" i="57"/>
  <c r="G164" i="57"/>
  <c r="AE163" i="57"/>
  <c r="AE160" i="57" s="1"/>
  <c r="AB163" i="57"/>
  <c r="Z163" i="57"/>
  <c r="Y163" i="57"/>
  <c r="Y160" i="57" s="1"/>
  <c r="W163" i="57"/>
  <c r="W160" i="57" s="1"/>
  <c r="V163" i="57"/>
  <c r="T163" i="57"/>
  <c r="S163" i="57"/>
  <c r="S160" i="57" s="1"/>
  <c r="P163" i="57"/>
  <c r="N163" i="57"/>
  <c r="L163" i="57"/>
  <c r="L160" i="57" s="1"/>
  <c r="J163" i="57"/>
  <c r="J160" i="57" s="1"/>
  <c r="AE162" i="57"/>
  <c r="AB162" i="57"/>
  <c r="AB159" i="57" s="1"/>
  <c r="Z162" i="57"/>
  <c r="V162" i="57"/>
  <c r="V159" i="57" s="1"/>
  <c r="T162" i="57"/>
  <c r="S162" i="57"/>
  <c r="S161" i="57" s="1"/>
  <c r="S158" i="57" s="1"/>
  <c r="P162" i="57"/>
  <c r="N162" i="57"/>
  <c r="N161" i="57" s="1"/>
  <c r="L162" i="57"/>
  <c r="J162" i="57"/>
  <c r="J159" i="57" s="1"/>
  <c r="AE161" i="57"/>
  <c r="AB161" i="57"/>
  <c r="V161" i="57"/>
  <c r="Q161" i="57"/>
  <c r="P161" i="57"/>
  <c r="M161" i="57"/>
  <c r="G161" i="57"/>
  <c r="G163" i="57" s="1"/>
  <c r="AB160" i="57"/>
  <c r="Z160" i="57"/>
  <c r="V160" i="57"/>
  <c r="T160" i="57"/>
  <c r="Q160" i="57"/>
  <c r="P160" i="57"/>
  <c r="N160" i="57"/>
  <c r="M160" i="57"/>
  <c r="G160" i="57"/>
  <c r="AE159" i="57"/>
  <c r="S159" i="57"/>
  <c r="Q159" i="57"/>
  <c r="P159" i="57"/>
  <c r="N159" i="57"/>
  <c r="M159" i="57"/>
  <c r="G159" i="57"/>
  <c r="AE158" i="57"/>
  <c r="Q158" i="57"/>
  <c r="M158" i="57"/>
  <c r="G158" i="57"/>
  <c r="V152" i="57"/>
  <c r="F152" i="57"/>
  <c r="V151" i="57"/>
  <c r="F151" i="57"/>
  <c r="AN150" i="57"/>
  <c r="AH150" i="57"/>
  <c r="AG150" i="57"/>
  <c r="AG147" i="57" s="1"/>
  <c r="AF150" i="57"/>
  <c r="AF147" i="57" s="1"/>
  <c r="AE150" i="57"/>
  <c r="AD150" i="57"/>
  <c r="AC150" i="57"/>
  <c r="AC147" i="57" s="1"/>
  <c r="AB150" i="57"/>
  <c r="AB147" i="57" s="1"/>
  <c r="AA150" i="57"/>
  <c r="Z150" i="57"/>
  <c r="Y150" i="57"/>
  <c r="Y147" i="57" s="1"/>
  <c r="X150" i="57"/>
  <c r="X147" i="57" s="1"/>
  <c r="W150" i="57"/>
  <c r="F150" i="57"/>
  <c r="V149" i="57"/>
  <c r="AN147" i="57"/>
  <c r="AL147" i="57"/>
  <c r="AK147" i="57"/>
  <c r="AI147" i="57"/>
  <c r="AH147" i="57"/>
  <c r="AE147" i="57"/>
  <c r="AD147" i="57"/>
  <c r="AA147" i="57"/>
  <c r="Z147" i="57"/>
  <c r="W147" i="57"/>
  <c r="F147" i="57"/>
  <c r="AK146" i="57"/>
  <c r="AI146" i="57"/>
  <c r="AH146" i="57"/>
  <c r="AH144" i="57" s="1"/>
  <c r="AG146" i="57"/>
  <c r="AF146" i="57"/>
  <c r="AE146" i="57"/>
  <c r="AD146" i="57"/>
  <c r="AD144" i="57" s="1"/>
  <c r="AC146" i="57"/>
  <c r="U146" i="57"/>
  <c r="U144" i="57" s="1"/>
  <c r="S146" i="57"/>
  <c r="F146" i="57"/>
  <c r="AK145" i="57"/>
  <c r="AK144" i="57" s="1"/>
  <c r="AI145" i="57"/>
  <c r="AB145" i="57"/>
  <c r="AB144" i="57" s="1"/>
  <c r="AA145" i="57"/>
  <c r="AA144" i="57" s="1"/>
  <c r="Z145" i="57"/>
  <c r="Y145" i="57"/>
  <c r="X145" i="57"/>
  <c r="X144" i="57" s="1"/>
  <c r="X134" i="57" s="1"/>
  <c r="W145" i="57"/>
  <c r="U145" i="57"/>
  <c r="S145" i="57"/>
  <c r="O145" i="57"/>
  <c r="F145" i="57"/>
  <c r="AN144" i="57"/>
  <c r="AL144" i="57"/>
  <c r="AI144" i="57"/>
  <c r="AG144" i="57"/>
  <c r="AF144" i="57"/>
  <c r="AE144" i="57"/>
  <c r="AC144" i="57"/>
  <c r="Z144" i="57"/>
  <c r="Y144" i="57"/>
  <c r="O144" i="57"/>
  <c r="O146" i="57" s="1"/>
  <c r="F144" i="57"/>
  <c r="V143" i="57"/>
  <c r="V140" i="57" s="1"/>
  <c r="F143" i="57"/>
  <c r="V142" i="57"/>
  <c r="F142" i="57"/>
  <c r="AN141" i="57"/>
  <c r="AL141" i="57"/>
  <c r="AK141" i="57"/>
  <c r="AK138" i="57" s="1"/>
  <c r="AI141" i="57"/>
  <c r="AI138" i="57" s="1"/>
  <c r="AH141" i="57"/>
  <c r="AG141" i="57"/>
  <c r="AF141" i="57"/>
  <c r="AF138" i="57" s="1"/>
  <c r="AE141" i="57"/>
  <c r="AE138" i="57" s="1"/>
  <c r="AD141" i="57"/>
  <c r="AC141" i="57"/>
  <c r="AB141" i="57"/>
  <c r="AB138" i="57" s="1"/>
  <c r="AA141" i="57"/>
  <c r="AA138" i="57" s="1"/>
  <c r="Z141" i="57"/>
  <c r="Y141" i="57"/>
  <c r="X141" i="57"/>
  <c r="X138" i="57" s="1"/>
  <c r="W141" i="57"/>
  <c r="W138" i="57" s="1"/>
  <c r="U141" i="57"/>
  <c r="S141" i="57"/>
  <c r="S138" i="57" s="1"/>
  <c r="F141" i="57"/>
  <c r="AL140" i="57"/>
  <c r="AL139" i="57"/>
  <c r="AN138" i="57"/>
  <c r="AL138" i="57"/>
  <c r="AH138" i="57"/>
  <c r="AG138" i="57"/>
  <c r="AD138" i="57"/>
  <c r="AC138" i="57"/>
  <c r="Z138" i="57"/>
  <c r="Y138" i="57"/>
  <c r="U138" i="57"/>
  <c r="F138" i="57"/>
  <c r="AN137" i="57"/>
  <c r="AK137" i="57"/>
  <c r="AI137" i="57"/>
  <c r="AH137" i="57"/>
  <c r="AG137" i="57"/>
  <c r="AF137" i="57"/>
  <c r="AF135" i="57" s="1"/>
  <c r="AE137" i="57"/>
  <c r="AE135" i="57" s="1"/>
  <c r="AE134" i="57" s="1"/>
  <c r="AD137" i="57"/>
  <c r="AC137" i="57"/>
  <c r="V137" i="57"/>
  <c r="U137" i="57"/>
  <c r="S137" i="57"/>
  <c r="F137" i="57"/>
  <c r="AN136" i="57"/>
  <c r="AK136" i="57"/>
  <c r="AI136" i="57"/>
  <c r="AI135" i="57" s="1"/>
  <c r="AI134" i="57" s="1"/>
  <c r="AB136" i="57"/>
  <c r="AA136" i="57"/>
  <c r="AA135" i="57" s="1"/>
  <c r="AA134" i="57" s="1"/>
  <c r="Z136" i="57"/>
  <c r="Z135" i="57" s="1"/>
  <c r="Y136" i="57"/>
  <c r="X136" i="57"/>
  <c r="W136" i="57"/>
  <c r="W135" i="57" s="1"/>
  <c r="V136" i="57"/>
  <c r="U136" i="57"/>
  <c r="S136" i="57"/>
  <c r="F136" i="57"/>
  <c r="AN135" i="57"/>
  <c r="AN134" i="57" s="1"/>
  <c r="AL135" i="57"/>
  <c r="AL134" i="57" s="1"/>
  <c r="AH135" i="57"/>
  <c r="AG135" i="57"/>
  <c r="AG134" i="57" s="1"/>
  <c r="AD135" i="57"/>
  <c r="AC135" i="57"/>
  <c r="AC134" i="57" s="1"/>
  <c r="AB135" i="57"/>
  <c r="Y135" i="57"/>
  <c r="Y134" i="57" s="1"/>
  <c r="X135" i="57"/>
  <c r="U135" i="57"/>
  <c r="U134" i="57" s="1"/>
  <c r="S135" i="57"/>
  <c r="F135" i="57"/>
  <c r="AF134" i="57"/>
  <c r="AB134" i="57"/>
  <c r="O134" i="57"/>
  <c r="O135" i="57" s="1"/>
  <c r="F134" i="57"/>
  <c r="C134" i="57"/>
  <c r="C135" i="57" s="1"/>
  <c r="C136" i="57" s="1"/>
  <c r="V125" i="57"/>
  <c r="V122" i="57" s="1"/>
  <c r="F125" i="57"/>
  <c r="D125" i="57"/>
  <c r="V124" i="57"/>
  <c r="V123" i="57" s="1"/>
  <c r="V120" i="57" s="1"/>
  <c r="F124" i="57"/>
  <c r="D124" i="57"/>
  <c r="AN123" i="57"/>
  <c r="AL123" i="57"/>
  <c r="AK123" i="57"/>
  <c r="AK120" i="57" s="1"/>
  <c r="AI123" i="57"/>
  <c r="AI120" i="57" s="1"/>
  <c r="AH123" i="57"/>
  <c r="AG123" i="57"/>
  <c r="AF123" i="57"/>
  <c r="AF120" i="57" s="1"/>
  <c r="AE123" i="57"/>
  <c r="AE120" i="57" s="1"/>
  <c r="AD123" i="57"/>
  <c r="AC123" i="57"/>
  <c r="AB123" i="57"/>
  <c r="AB120" i="57" s="1"/>
  <c r="AA123" i="57"/>
  <c r="AA120" i="57" s="1"/>
  <c r="Z123" i="57"/>
  <c r="Y123" i="57"/>
  <c r="X123" i="57"/>
  <c r="X120" i="57" s="1"/>
  <c r="W123" i="57"/>
  <c r="W120" i="57" s="1"/>
  <c r="U123" i="57"/>
  <c r="S123" i="57"/>
  <c r="S120" i="57" s="1"/>
  <c r="F123" i="57"/>
  <c r="AL122" i="57"/>
  <c r="F122" i="57"/>
  <c r="AL121" i="57"/>
  <c r="V121" i="57"/>
  <c r="F121" i="57"/>
  <c r="AN120" i="57"/>
  <c r="AL120" i="57"/>
  <c r="AH120" i="57"/>
  <c r="AG120" i="57"/>
  <c r="AD120" i="57"/>
  <c r="AC120" i="57"/>
  <c r="Z120" i="57"/>
  <c r="Y120" i="57"/>
  <c r="U120" i="57"/>
  <c r="F120" i="57"/>
  <c r="AN119" i="57"/>
  <c r="AK119" i="57"/>
  <c r="AI119" i="57"/>
  <c r="AH119" i="57"/>
  <c r="AH117" i="57" s="1"/>
  <c r="AG119" i="57"/>
  <c r="AF119" i="57"/>
  <c r="AE119" i="57"/>
  <c r="AD119" i="57"/>
  <c r="AD117" i="57" s="1"/>
  <c r="AC119" i="57"/>
  <c r="U119" i="57"/>
  <c r="S119" i="57"/>
  <c r="F119" i="57"/>
  <c r="D119" i="57"/>
  <c r="AN118" i="57"/>
  <c r="AK118" i="57"/>
  <c r="AI118" i="57"/>
  <c r="AB118" i="57"/>
  <c r="AA118" i="57"/>
  <c r="Z118" i="57"/>
  <c r="Z117" i="57" s="1"/>
  <c r="Y118" i="57"/>
  <c r="X118" i="57"/>
  <c r="W118" i="57"/>
  <c r="U118" i="57"/>
  <c r="S118" i="57"/>
  <c r="F118" i="57"/>
  <c r="D118" i="57"/>
  <c r="AN117" i="57"/>
  <c r="AL117" i="57"/>
  <c r="AK117" i="57"/>
  <c r="AG117" i="57"/>
  <c r="AF117" i="57"/>
  <c r="AC117" i="57"/>
  <c r="AB117" i="57"/>
  <c r="AA117" i="57"/>
  <c r="X117" i="57"/>
  <c r="W117" i="57"/>
  <c r="S117" i="57"/>
  <c r="O117" i="57"/>
  <c r="O123" i="57" s="1"/>
  <c r="F117" i="57"/>
  <c r="C117" i="57"/>
  <c r="C106" i="57"/>
  <c r="C107" i="57" s="1"/>
  <c r="C108" i="57" s="1"/>
  <c r="C109" i="57" s="1"/>
  <c r="O101" i="57"/>
  <c r="P95" i="57"/>
  <c r="O89" i="57"/>
  <c r="AA78" i="57"/>
  <c r="S78" i="57"/>
  <c r="AA77" i="57"/>
  <c r="Y77" i="57"/>
  <c r="Q77" i="57"/>
  <c r="P77" i="57"/>
  <c r="AA76" i="57"/>
  <c r="Y76" i="57"/>
  <c r="Y78" i="57" s="1"/>
  <c r="U76" i="57"/>
  <c r="Q76" i="57"/>
  <c r="Q78" i="57" s="1"/>
  <c r="U73" i="57"/>
  <c r="U77" i="57" s="1"/>
  <c r="T73" i="57"/>
  <c r="T77" i="57" s="1"/>
  <c r="S73" i="57"/>
  <c r="S77" i="57" s="1"/>
  <c r="R73" i="57"/>
  <c r="P73" i="57"/>
  <c r="O73" i="57"/>
  <c r="U70" i="57"/>
  <c r="T70" i="57"/>
  <c r="S70" i="57"/>
  <c r="R70" i="57"/>
  <c r="P70" i="57"/>
  <c r="O70" i="57"/>
  <c r="U67" i="57"/>
  <c r="T67" i="57"/>
  <c r="S67" i="57"/>
  <c r="R67" i="57"/>
  <c r="P67" i="57"/>
  <c r="O67" i="57"/>
  <c r="U64" i="57"/>
  <c r="T64" i="57"/>
  <c r="S64" i="57"/>
  <c r="R64" i="57"/>
  <c r="P64" i="57"/>
  <c r="O64" i="57"/>
  <c r="U61" i="57"/>
  <c r="T61" i="57"/>
  <c r="S61" i="57"/>
  <c r="R61" i="57"/>
  <c r="P61" i="57"/>
  <c r="O61" i="57"/>
  <c r="U58" i="57"/>
  <c r="T58" i="57"/>
  <c r="S58" i="57"/>
  <c r="R58" i="57"/>
  <c r="P58" i="57"/>
  <c r="O58" i="57"/>
  <c r="U55" i="57"/>
  <c r="T55" i="57"/>
  <c r="S55" i="57"/>
  <c r="R55" i="57"/>
  <c r="P55" i="57"/>
  <c r="O55" i="57"/>
  <c r="U52" i="57"/>
  <c r="T52" i="57"/>
  <c r="S52" i="57"/>
  <c r="R52" i="57"/>
  <c r="P52" i="57"/>
  <c r="O52" i="57"/>
  <c r="U49" i="57"/>
  <c r="T49" i="57"/>
  <c r="S49" i="57"/>
  <c r="R49" i="57"/>
  <c r="P49" i="57"/>
  <c r="O49" i="57"/>
  <c r="U46" i="57"/>
  <c r="T46" i="57"/>
  <c r="S46" i="57"/>
  <c r="R46" i="57"/>
  <c r="P46" i="57"/>
  <c r="O46" i="57"/>
  <c r="U43" i="57"/>
  <c r="T43" i="57"/>
  <c r="S43" i="57"/>
  <c r="R43" i="57"/>
  <c r="P43" i="57"/>
  <c r="O43" i="57"/>
  <c r="U40" i="57"/>
  <c r="T40" i="57"/>
  <c r="S40" i="57"/>
  <c r="S76" i="57" s="1"/>
  <c r="R40" i="57"/>
  <c r="R76" i="57" s="1"/>
  <c r="P40" i="57"/>
  <c r="P76" i="57" s="1"/>
  <c r="O40" i="57"/>
  <c r="AA36" i="57"/>
  <c r="Y36" i="57"/>
  <c r="V33" i="57"/>
  <c r="U33" i="57"/>
  <c r="O33" i="57"/>
  <c r="N33" i="57"/>
  <c r="I33" i="57"/>
  <c r="F33" i="57"/>
  <c r="V32" i="57"/>
  <c r="U32" i="57"/>
  <c r="T32" i="57"/>
  <c r="S32" i="57"/>
  <c r="R32" i="57"/>
  <c r="O32" i="57"/>
  <c r="N32" i="57"/>
  <c r="M32" i="57"/>
  <c r="K32" i="57" s="1"/>
  <c r="L32" i="57"/>
  <c r="F32" i="57"/>
  <c r="V31" i="57"/>
  <c r="U31" i="57"/>
  <c r="T31" i="57"/>
  <c r="S31" i="57"/>
  <c r="S33" i="57" s="1"/>
  <c r="O31" i="57"/>
  <c r="N31" i="57"/>
  <c r="M31" i="57"/>
  <c r="L31" i="57"/>
  <c r="F31" i="57"/>
  <c r="X30" i="57"/>
  <c r="W30" i="57"/>
  <c r="R30" i="57"/>
  <c r="Q30" i="57"/>
  <c r="P30" i="57"/>
  <c r="K30" i="57"/>
  <c r="F30" i="57"/>
  <c r="X29" i="57"/>
  <c r="W29" i="57"/>
  <c r="R29" i="57"/>
  <c r="Q29" i="57"/>
  <c r="P29" i="57"/>
  <c r="K29" i="57"/>
  <c r="F29" i="57"/>
  <c r="X28" i="57"/>
  <c r="W28" i="57"/>
  <c r="R28" i="57"/>
  <c r="Q28" i="57"/>
  <c r="Q32" i="57" s="1"/>
  <c r="P28" i="57"/>
  <c r="K28" i="57"/>
  <c r="F28" i="57"/>
  <c r="X27" i="57"/>
  <c r="W27" i="57"/>
  <c r="R27" i="57"/>
  <c r="Q27" i="57"/>
  <c r="P27" i="57"/>
  <c r="K27" i="57"/>
  <c r="F27" i="57"/>
  <c r="X26" i="57"/>
  <c r="W26" i="57"/>
  <c r="R26" i="57"/>
  <c r="Q26" i="57"/>
  <c r="P26" i="57"/>
  <c r="K26" i="57"/>
  <c r="F26" i="57"/>
  <c r="X25" i="57"/>
  <c r="W25" i="57"/>
  <c r="R25" i="57"/>
  <c r="W32" i="57" s="1"/>
  <c r="Q25" i="57"/>
  <c r="P25" i="57"/>
  <c r="K25" i="57"/>
  <c r="F25" i="57"/>
  <c r="X22" i="57"/>
  <c r="W22" i="57"/>
  <c r="R22" i="57"/>
  <c r="Q22" i="57"/>
  <c r="P22" i="57"/>
  <c r="K22" i="57"/>
  <c r="F22" i="57"/>
  <c r="X21" i="57"/>
  <c r="W21" i="57"/>
  <c r="R21" i="57"/>
  <c r="Q21" i="57"/>
  <c r="P21" i="57"/>
  <c r="K21" i="57"/>
  <c r="F21" i="57"/>
  <c r="X20" i="57"/>
  <c r="W20" i="57"/>
  <c r="R20" i="57"/>
  <c r="Q20" i="57"/>
  <c r="P20" i="57"/>
  <c r="K20" i="57"/>
  <c r="F20" i="57"/>
  <c r="X19" i="57"/>
  <c r="W19" i="57"/>
  <c r="R19" i="57"/>
  <c r="Q19" i="57"/>
  <c r="P19" i="57"/>
  <c r="K19" i="57"/>
  <c r="F19" i="57"/>
  <c r="X18" i="57"/>
  <c r="W18" i="57"/>
  <c r="R18" i="57"/>
  <c r="Q18" i="57"/>
  <c r="P18" i="57"/>
  <c r="K18" i="57"/>
  <c r="F18" i="57"/>
  <c r="X17" i="57"/>
  <c r="X31" i="57" s="1"/>
  <c r="W17" i="57"/>
  <c r="R17" i="57"/>
  <c r="Q17" i="57"/>
  <c r="P17" i="57"/>
  <c r="K17" i="57"/>
  <c r="F17" i="57"/>
  <c r="BC13" i="57"/>
  <c r="BG13" i="57" s="1"/>
  <c r="AV13" i="57"/>
  <c r="AQ13" i="57"/>
  <c r="AK13" i="57"/>
  <c r="AL13" i="57" s="1"/>
  <c r="AA13" i="57"/>
  <c r="P13" i="57"/>
  <c r="Y10" i="57"/>
  <c r="S10" i="57"/>
  <c r="AL39" i="66"/>
  <c r="AF39" i="66"/>
  <c r="AF40" i="66" s="1"/>
  <c r="AI40" i="66" s="1"/>
  <c r="AK39" i="66"/>
  <c r="AK40" i="66" s="1"/>
  <c r="AE39" i="66"/>
  <c r="AE40" i="66"/>
  <c r="AH40" i="66" s="1"/>
  <c r="AF35" i="66"/>
  <c r="AE35" i="66"/>
  <c r="N88" i="44"/>
  <c r="O88" i="44" s="1"/>
  <c r="M88" i="44"/>
  <c r="N87" i="44"/>
  <c r="O87" i="44" s="1"/>
  <c r="M87" i="44"/>
  <c r="N86" i="44"/>
  <c r="O86" i="44" s="1"/>
  <c r="M86" i="44"/>
  <c r="L83" i="44"/>
  <c r="M83" i="44" s="1"/>
  <c r="N82" i="44"/>
  <c r="O82" i="44" s="1"/>
  <c r="M82" i="44"/>
  <c r="L81" i="44"/>
  <c r="N81" i="44" s="1"/>
  <c r="O81" i="44" s="1"/>
  <c r="L80" i="44"/>
  <c r="N80" i="44" s="1"/>
  <c r="O80" i="44" s="1"/>
  <c r="L79" i="44"/>
  <c r="N79" i="44" s="1"/>
  <c r="O79" i="44" s="1"/>
  <c r="N74" i="44"/>
  <c r="O74" i="44" s="1"/>
  <c r="M74" i="44"/>
  <c r="N73" i="44"/>
  <c r="O73" i="44" s="1"/>
  <c r="M73" i="44"/>
  <c r="L71" i="44"/>
  <c r="M71" i="44" s="1"/>
  <c r="O69" i="44"/>
  <c r="N69" i="44"/>
  <c r="M69" i="44"/>
  <c r="N68" i="44"/>
  <c r="O68" i="44" s="1"/>
  <c r="M68" i="44"/>
  <c r="L66" i="44"/>
  <c r="N66" i="44" s="1"/>
  <c r="O66" i="44" s="1"/>
  <c r="L65" i="44"/>
  <c r="N65" i="44" s="1"/>
  <c r="O65" i="44" s="1"/>
  <c r="L63" i="44"/>
  <c r="N63" i="44" s="1"/>
  <c r="O63" i="44" s="1"/>
  <c r="N62" i="44"/>
  <c r="O62" i="44" s="1"/>
  <c r="M62" i="44"/>
  <c r="L61" i="44"/>
  <c r="O60" i="44"/>
  <c r="L60" i="44"/>
  <c r="M60" i="44" s="1"/>
  <c r="O58" i="44"/>
  <c r="L58" i="44"/>
  <c r="M58" i="44" s="1"/>
  <c r="O57" i="44"/>
  <c r="L57" i="44"/>
  <c r="M57" i="44" s="1"/>
  <c r="L55" i="44"/>
  <c r="N55" i="44" s="1"/>
  <c r="O55" i="44" s="1"/>
  <c r="N54" i="44"/>
  <c r="O54" i="44" s="1"/>
  <c r="M54" i="44"/>
  <c r="L53" i="44"/>
  <c r="L52" i="44"/>
  <c r="L50" i="44"/>
  <c r="L49" i="44"/>
  <c r="L47" i="44"/>
  <c r="O46" i="44"/>
  <c r="N46" i="44"/>
  <c r="M46" i="44"/>
  <c r="L45" i="44"/>
  <c r="M45" i="44" s="1"/>
  <c r="L44" i="44"/>
  <c r="M44" i="44" s="1"/>
  <c r="N38" i="44"/>
  <c r="O38" i="44" s="1"/>
  <c r="M38" i="44"/>
  <c r="O37" i="44"/>
  <c r="N37" i="44"/>
  <c r="M37" i="44"/>
  <c r="O34" i="44"/>
  <c r="M34" i="44"/>
  <c r="N33" i="44"/>
  <c r="O33" i="44" s="1"/>
  <c r="M33" i="44"/>
  <c r="O32" i="44"/>
  <c r="N32" i="44"/>
  <c r="M32" i="44"/>
  <c r="N30" i="44"/>
  <c r="O30" i="44" s="1"/>
  <c r="M30" i="44"/>
  <c r="O29" i="44"/>
  <c r="M29" i="44"/>
  <c r="M28" i="44"/>
  <c r="M27" i="44"/>
  <c r="M26" i="44"/>
  <c r="M25" i="44"/>
  <c r="M24" i="44"/>
  <c r="M23" i="44"/>
  <c r="M22" i="44"/>
  <c r="M21" i="44"/>
  <c r="M20" i="44"/>
  <c r="L20" i="44"/>
  <c r="L21" i="44" s="1"/>
  <c r="L22" i="44" s="1"/>
  <c r="L23" i="44" s="1"/>
  <c r="N19" i="44"/>
  <c r="O26" i="44" s="1"/>
  <c r="M19" i="44"/>
  <c r="N16" i="44"/>
  <c r="L16" i="44"/>
  <c r="O1" i="44"/>
  <c r="N1" i="44"/>
  <c r="A1" i="44"/>
  <c r="D451" i="78"/>
  <c r="D450" i="78"/>
  <c r="C452" i="78"/>
  <c r="D446" i="78"/>
  <c r="D445" i="78"/>
  <c r="D444" i="78"/>
  <c r="C446" i="78"/>
  <c r="G446" i="78" s="1"/>
  <c r="C440" i="78"/>
  <c r="D440" i="78"/>
  <c r="D438" i="78"/>
  <c r="D436" i="78"/>
  <c r="AB130" i="33"/>
  <c r="AB132" i="32"/>
  <c r="AD754" i="31"/>
  <c r="AD750" i="31"/>
  <c r="AI746" i="31"/>
  <c r="AB745" i="31"/>
  <c r="AC741" i="31"/>
  <c r="AI737" i="31"/>
  <c r="AB736" i="31"/>
  <c r="AB734" i="31"/>
  <c r="AB730" i="31"/>
  <c r="AL727" i="31"/>
  <c r="AK727" i="31"/>
  <c r="AM727" i="31" s="1"/>
  <c r="AH727" i="31"/>
  <c r="AJ727" i="31" s="1"/>
  <c r="AL725" i="31"/>
  <c r="AK725" i="31"/>
  <c r="AI725" i="31"/>
  <c r="AH725" i="31"/>
  <c r="AB722" i="31"/>
  <c r="AB680" i="31"/>
  <c r="AH673" i="31"/>
  <c r="AD673" i="31"/>
  <c r="AH672" i="31"/>
  <c r="AD672" i="31"/>
  <c r="AD671" i="31"/>
  <c r="AH665" i="31"/>
  <c r="AD665" i="31"/>
  <c r="AH664" i="31"/>
  <c r="AH654" i="31"/>
  <c r="AH653" i="31"/>
  <c r="AD653" i="31"/>
  <c r="AD652" i="31"/>
  <c r="AD651" i="31"/>
  <c r="AD650" i="31"/>
  <c r="AD649" i="31"/>
  <c r="AD648" i="31"/>
  <c r="AD622" i="31"/>
  <c r="AH621" i="31"/>
  <c r="AD621" i="31"/>
  <c r="AK612" i="31"/>
  <c r="AJ612" i="31"/>
  <c r="AI612" i="31"/>
  <c r="AI611" i="31"/>
  <c r="AK610" i="31"/>
  <c r="AJ610" i="31"/>
  <c r="AI610" i="31"/>
  <c r="AI609" i="31"/>
  <c r="AK608" i="31"/>
  <c r="AJ608" i="31"/>
  <c r="AI608" i="31"/>
  <c r="AK607" i="31"/>
  <c r="AJ607" i="31"/>
  <c r="AI607" i="31"/>
  <c r="AI606" i="31"/>
  <c r="AK604" i="31"/>
  <c r="AJ604" i="31"/>
  <c r="AK599" i="31"/>
  <c r="AJ599" i="31"/>
  <c r="AI599" i="31"/>
  <c r="AB596" i="31"/>
  <c r="AB595" i="31"/>
  <c r="AH590" i="31"/>
  <c r="AD590" i="31"/>
  <c r="AH589" i="31"/>
  <c r="AD589" i="31"/>
  <c r="AD588" i="31"/>
  <c r="AD587" i="31"/>
  <c r="AH586" i="31"/>
  <c r="AD586" i="31"/>
  <c r="AD585" i="31"/>
  <c r="AH583" i="31"/>
  <c r="AD583" i="31"/>
  <c r="AH582" i="31"/>
  <c r="AD582" i="31"/>
  <c r="AH581" i="31"/>
  <c r="AD580" i="31"/>
  <c r="AD579" i="31"/>
  <c r="AD578" i="31"/>
  <c r="AB568" i="31"/>
  <c r="AB567" i="31"/>
  <c r="AB546" i="31"/>
  <c r="AB541" i="31"/>
  <c r="AB526" i="31"/>
  <c r="AB506" i="31"/>
  <c r="AB496" i="31"/>
  <c r="AB491" i="31"/>
  <c r="AB482" i="31"/>
  <c r="AB480" i="31"/>
  <c r="AB475" i="31"/>
  <c r="AB473" i="31"/>
  <c r="AB463" i="31"/>
  <c r="AB458" i="31"/>
  <c r="AB450" i="31"/>
  <c r="AB429" i="31"/>
  <c r="AB425" i="31"/>
  <c r="AB399" i="31"/>
  <c r="AB386" i="31"/>
  <c r="AB382" i="31"/>
  <c r="AB379" i="31"/>
  <c r="AI373" i="31"/>
  <c r="AG373" i="31"/>
  <c r="AI372" i="31"/>
  <c r="AG372" i="31"/>
  <c r="AI371" i="31"/>
  <c r="AG371" i="31"/>
  <c r="AI368" i="31"/>
  <c r="AG368" i="31"/>
  <c r="AI367" i="31"/>
  <c r="AG367" i="31"/>
  <c r="AI366" i="31"/>
  <c r="AG366" i="31"/>
  <c r="AI362" i="31"/>
  <c r="AG362" i="31"/>
  <c r="AI361" i="31"/>
  <c r="AG361" i="31"/>
  <c r="AI359" i="31"/>
  <c r="AG359" i="31"/>
  <c r="AI358" i="31"/>
  <c r="AG358" i="31"/>
  <c r="AI354" i="31"/>
  <c r="AG354" i="31"/>
  <c r="AB344" i="31"/>
  <c r="AK338" i="31"/>
  <c r="AJ338" i="31"/>
  <c r="AI338" i="31"/>
  <c r="AH338" i="31"/>
  <c r="AL334" i="31"/>
  <c r="AK334" i="31"/>
  <c r="AJ334" i="31"/>
  <c r="AI334" i="31"/>
  <c r="AJ333" i="31"/>
  <c r="AI333" i="31"/>
  <c r="AJ332" i="31"/>
  <c r="AI332" i="31"/>
  <c r="AJ331" i="31"/>
  <c r="AI331" i="31"/>
  <c r="AL330" i="31"/>
  <c r="AK330" i="31"/>
  <c r="AJ330" i="31"/>
  <c r="AI330" i="31"/>
  <c r="AH330" i="31"/>
  <c r="AB316" i="31"/>
  <c r="AB299" i="31"/>
  <c r="AB298" i="31"/>
  <c r="A298" i="31"/>
  <c r="A297" i="31"/>
  <c r="A296" i="31"/>
  <c r="A295" i="31"/>
  <c r="A294" i="31"/>
  <c r="A293" i="31"/>
  <c r="AB292" i="31"/>
  <c r="A292" i="31"/>
  <c r="A291" i="31"/>
  <c r="A290" i="31"/>
  <c r="A289" i="31"/>
  <c r="A288" i="31"/>
  <c r="A287" i="31"/>
  <c r="AB286" i="31"/>
  <c r="A286" i="31"/>
  <c r="A285" i="31"/>
  <c r="A284" i="31"/>
  <c r="A283" i="31"/>
  <c r="A282" i="31"/>
  <c r="AB281" i="31"/>
  <c r="A281" i="31"/>
  <c r="A280" i="31"/>
  <c r="A279" i="31"/>
  <c r="A278" i="31"/>
  <c r="A277" i="31"/>
  <c r="A276" i="31"/>
  <c r="AB275" i="31"/>
  <c r="A275" i="31"/>
  <c r="AB266" i="31"/>
  <c r="AC259" i="31"/>
  <c r="AC258" i="31"/>
  <c r="AB246" i="31"/>
  <c r="AF245" i="31"/>
  <c r="AB245" i="31"/>
  <c r="AF244" i="31"/>
  <c r="AB244" i="31"/>
  <c r="AF243" i="31"/>
  <c r="AB243" i="31"/>
  <c r="AF242" i="31"/>
  <c r="AB242" i="31"/>
  <c r="AF241" i="31"/>
  <c r="AB241" i="31"/>
  <c r="AF237" i="31"/>
  <c r="AB237" i="31"/>
  <c r="AF236" i="31"/>
  <c r="AB236" i="31"/>
  <c r="AF235" i="31"/>
  <c r="AB235" i="31"/>
  <c r="AF234" i="31"/>
  <c r="AB234" i="31"/>
  <c r="AF233" i="31"/>
  <c r="AB233" i="31"/>
  <c r="AP227" i="31"/>
  <c r="AP226" i="31"/>
  <c r="AB211" i="31"/>
  <c r="AB210" i="31"/>
  <c r="AB205" i="31"/>
  <c r="AB203" i="31"/>
  <c r="AB202" i="31"/>
  <c r="AB200" i="31"/>
  <c r="AB199" i="31"/>
  <c r="AI198" i="31"/>
  <c r="AI196" i="31"/>
  <c r="AB195" i="31"/>
  <c r="AI194" i="31"/>
  <c r="AI193" i="31"/>
  <c r="AB189" i="31"/>
  <c r="AB185" i="31"/>
  <c r="AB174" i="31"/>
  <c r="AM167" i="31"/>
  <c r="AK167" i="31"/>
  <c r="AL175" i="31" s="1"/>
  <c r="AJ167" i="31"/>
  <c r="AL167" i="31" s="1"/>
  <c r="AI167" i="31"/>
  <c r="AK166" i="31"/>
  <c r="AL174" i="31" s="1"/>
  <c r="AJ166" i="31"/>
  <c r="AI166" i="31"/>
  <c r="AK165" i="31"/>
  <c r="AJ165" i="31"/>
  <c r="AM165" i="31" s="1"/>
  <c r="AI165" i="31"/>
  <c r="AK163" i="31"/>
  <c r="AJ163" i="31"/>
  <c r="AM163" i="31" s="1"/>
  <c r="AI163" i="31"/>
  <c r="AK162" i="31"/>
  <c r="AK164" i="31" s="1"/>
  <c r="AJ162" i="31"/>
  <c r="AI162" i="31"/>
  <c r="AK161" i="31"/>
  <c r="AJ161" i="31"/>
  <c r="AM161" i="31" s="1"/>
  <c r="AI161" i="31"/>
  <c r="AK160" i="31"/>
  <c r="AJ160" i="31"/>
  <c r="AI160" i="31"/>
  <c r="AM159" i="31"/>
  <c r="AK159" i="31"/>
  <c r="AJ159" i="31"/>
  <c r="AI159" i="31"/>
  <c r="AK158" i="31"/>
  <c r="AJ158" i="31"/>
  <c r="AM158" i="31" s="1"/>
  <c r="AI158" i="31"/>
  <c r="AK157" i="31"/>
  <c r="AL183" i="31" s="1"/>
  <c r="AJ157" i="31"/>
  <c r="AM157" i="31" s="1"/>
  <c r="AI157" i="31"/>
  <c r="AK156" i="31"/>
  <c r="AJ156" i="31"/>
  <c r="AI156" i="31"/>
  <c r="AM155" i="31"/>
  <c r="AK155" i="31"/>
  <c r="AL155" i="31" s="1"/>
  <c r="AJ155" i="31"/>
  <c r="AI155" i="31"/>
  <c r="AK154" i="31"/>
  <c r="AL154" i="31" s="1"/>
  <c r="AJ154" i="31"/>
  <c r="AM154" i="31" s="1"/>
  <c r="AI154" i="31"/>
  <c r="AK153" i="31"/>
  <c r="AL182" i="31" s="1"/>
  <c r="AJ153" i="31"/>
  <c r="AM153" i="31" s="1"/>
  <c r="AI153" i="31"/>
  <c r="AM152" i="31"/>
  <c r="AK152" i="31"/>
  <c r="AJ152" i="31"/>
  <c r="AI152" i="31"/>
  <c r="AM151" i="31"/>
  <c r="AK151" i="31"/>
  <c r="AL178" i="31" s="1"/>
  <c r="AJ151" i="31"/>
  <c r="AI151" i="31"/>
  <c r="AM150" i="31"/>
  <c r="AK150" i="31"/>
  <c r="AL150" i="31" s="1"/>
  <c r="AJ150" i="31"/>
  <c r="AI150" i="31"/>
  <c r="AK149" i="31"/>
  <c r="AJ149" i="31"/>
  <c r="AM149" i="31" s="1"/>
  <c r="AI149" i="31"/>
  <c r="AK148" i="31"/>
  <c r="AJ148" i="31"/>
  <c r="AI148" i="31"/>
  <c r="AK146" i="31"/>
  <c r="AI197" i="31" s="1"/>
  <c r="AJ146" i="31"/>
  <c r="AM146" i="31" s="1"/>
  <c r="AI146" i="31"/>
  <c r="AK145" i="31"/>
  <c r="AL145" i="31" s="1"/>
  <c r="AJ145" i="31"/>
  <c r="AM145" i="31" s="1"/>
  <c r="AI145" i="31"/>
  <c r="AK143" i="31"/>
  <c r="AJ143" i="31"/>
  <c r="AM143" i="31" s="1"/>
  <c r="AI143" i="31"/>
  <c r="AK142" i="31"/>
  <c r="AJ142" i="31"/>
  <c r="AI142" i="31"/>
  <c r="AK141" i="31"/>
  <c r="AI189" i="31" s="1"/>
  <c r="AJ141" i="31"/>
  <c r="AM141" i="31" s="1"/>
  <c r="AI141" i="31"/>
  <c r="AK140" i="31"/>
  <c r="AJ140" i="31"/>
  <c r="AM140" i="31" s="1"/>
  <c r="AI140" i="31"/>
  <c r="AK139" i="31"/>
  <c r="AJ139" i="31"/>
  <c r="AI139" i="31"/>
  <c r="AK138" i="31"/>
  <c r="AJ138" i="31"/>
  <c r="AI138" i="31"/>
  <c r="AK136" i="31"/>
  <c r="AJ136" i="31"/>
  <c r="AI136" i="31"/>
  <c r="AB134" i="31"/>
  <c r="AB131" i="31"/>
  <c r="AB126" i="31"/>
  <c r="AG121" i="31"/>
  <c r="AG117" i="31"/>
  <c r="AB104" i="31"/>
  <c r="AB98" i="31"/>
  <c r="AB96" i="31"/>
  <c r="AB95" i="31"/>
  <c r="AB90" i="31"/>
  <c r="AB89" i="31"/>
  <c r="AC86" i="31"/>
  <c r="AB84" i="31"/>
  <c r="AB83" i="31"/>
  <c r="AB73" i="31"/>
  <c r="AB72" i="31"/>
  <c r="AB67" i="31"/>
  <c r="AC60" i="31"/>
  <c r="AB60" i="31"/>
  <c r="AB59" i="31"/>
  <c r="AG31" i="31"/>
  <c r="AG30" i="31"/>
  <c r="AG29" i="31"/>
  <c r="AG28" i="31"/>
  <c r="AG27" i="31"/>
  <c r="AB410" i="31" s="1"/>
  <c r="AG23" i="31"/>
  <c r="AD914" i="30"/>
  <c r="AD915" i="30" s="1"/>
  <c r="AD916" i="30" s="1"/>
  <c r="AD917" i="30" s="1"/>
  <c r="AD918" i="30" s="1"/>
  <c r="AD910" i="30"/>
  <c r="AM906" i="30"/>
  <c r="AL906" i="30"/>
  <c r="AK906" i="30"/>
  <c r="AJ906" i="30"/>
  <c r="AI906" i="30"/>
  <c r="AC901" i="30"/>
  <c r="AI897" i="30"/>
  <c r="AL887" i="30"/>
  <c r="AK887" i="30"/>
  <c r="AM887" i="30" s="1"/>
  <c r="AH887" i="30"/>
  <c r="AJ887" i="30" s="1"/>
  <c r="AL885" i="30"/>
  <c r="AK885" i="30"/>
  <c r="AI885" i="30"/>
  <c r="AH885" i="30"/>
  <c r="AB882" i="30"/>
  <c r="AB840" i="30"/>
  <c r="AH833" i="30"/>
  <c r="AD833" i="30"/>
  <c r="AH832" i="30"/>
  <c r="AD832" i="30"/>
  <c r="AD831" i="30"/>
  <c r="AH825" i="30"/>
  <c r="AD825" i="30"/>
  <c r="AH824" i="30"/>
  <c r="AH814" i="30"/>
  <c r="AH813" i="30"/>
  <c r="AD813" i="30"/>
  <c r="AD812" i="30"/>
  <c r="AD811" i="30"/>
  <c r="AD810" i="30"/>
  <c r="AD809" i="30"/>
  <c r="AD808" i="30"/>
  <c r="AD782" i="30"/>
  <c r="AH781" i="30"/>
  <c r="AD781" i="30"/>
  <c r="AK772" i="30"/>
  <c r="AJ772" i="30"/>
  <c r="AI772" i="30"/>
  <c r="AI771" i="30"/>
  <c r="AK770" i="30"/>
  <c r="AJ770" i="30"/>
  <c r="AI770" i="30"/>
  <c r="AI769" i="30"/>
  <c r="AK768" i="30"/>
  <c r="AJ768" i="30"/>
  <c r="AI768" i="30"/>
  <c r="AK767" i="30"/>
  <c r="AJ767" i="30"/>
  <c r="AI767" i="30"/>
  <c r="AI766" i="30"/>
  <c r="AK759" i="30"/>
  <c r="AJ759" i="30"/>
  <c r="AI759" i="30"/>
  <c r="AB756" i="30"/>
  <c r="AB755" i="30"/>
  <c r="AH751" i="30"/>
  <c r="AD751" i="30"/>
  <c r="AH750" i="30"/>
  <c r="AD750" i="30"/>
  <c r="AD749" i="30"/>
  <c r="AD748" i="30"/>
  <c r="AH747" i="30"/>
  <c r="AD747" i="30"/>
  <c r="AD746" i="30"/>
  <c r="AH744" i="30"/>
  <c r="AD744" i="30"/>
  <c r="AH743" i="30"/>
  <c r="AD743" i="30"/>
  <c r="AH742" i="30"/>
  <c r="AD741" i="30"/>
  <c r="AD740" i="30"/>
  <c r="AD739" i="30"/>
  <c r="AB729" i="30"/>
  <c r="AB728" i="30"/>
  <c r="AB706" i="30"/>
  <c r="AB701" i="30"/>
  <c r="AB686" i="30"/>
  <c r="AB666" i="30"/>
  <c r="AB656" i="30"/>
  <c r="AB651" i="30"/>
  <c r="AB642" i="30"/>
  <c r="AB635" i="30"/>
  <c r="AB623" i="30"/>
  <c r="AB618" i="30"/>
  <c r="AB610" i="30"/>
  <c r="AB589" i="30"/>
  <c r="AB559" i="30"/>
  <c r="AB546" i="30"/>
  <c r="AB542" i="30"/>
  <c r="AI533" i="30"/>
  <c r="AG533" i="30"/>
  <c r="AI532" i="30"/>
  <c r="AG532" i="30"/>
  <c r="AI531" i="30"/>
  <c r="AG531" i="30"/>
  <c r="AI528" i="30"/>
  <c r="AG528" i="30"/>
  <c r="AI527" i="30"/>
  <c r="AG527" i="30"/>
  <c r="AI526" i="30"/>
  <c r="AI525" i="30" s="1"/>
  <c r="AI524" i="30" s="1"/>
  <c r="AG526" i="30"/>
  <c r="AI522" i="30"/>
  <c r="AG522" i="30"/>
  <c r="AI521" i="30"/>
  <c r="AG521" i="30"/>
  <c r="AI519" i="30"/>
  <c r="AG519" i="30"/>
  <c r="AI518" i="30"/>
  <c r="AG518" i="30"/>
  <c r="AI514" i="30"/>
  <c r="AG514" i="30"/>
  <c r="AL500" i="30"/>
  <c r="AK500" i="30"/>
  <c r="AJ500" i="30"/>
  <c r="AI500" i="30"/>
  <c r="AH500" i="30"/>
  <c r="AB486" i="30"/>
  <c r="AL475" i="30"/>
  <c r="AL474" i="30"/>
  <c r="AL473" i="30"/>
  <c r="AL472" i="30"/>
  <c r="AI470" i="30"/>
  <c r="AH470" i="30"/>
  <c r="AB465" i="30"/>
  <c r="AL458" i="30"/>
  <c r="AL457" i="30"/>
  <c r="AL456" i="30"/>
  <c r="AI454" i="30"/>
  <c r="AH454" i="30"/>
  <c r="AB444" i="30"/>
  <c r="AL379" i="30"/>
  <c r="AL378" i="30"/>
  <c r="AL377" i="30"/>
  <c r="AL376" i="30"/>
  <c r="AL375" i="30"/>
  <c r="AL374" i="30"/>
  <c r="AL373" i="30"/>
  <c r="AI371" i="30"/>
  <c r="AH371" i="30"/>
  <c r="AH341" i="30"/>
  <c r="AB339" i="30"/>
  <c r="AB337" i="30"/>
  <c r="AB332" i="30"/>
  <c r="AB330" i="30"/>
  <c r="AB329" i="30"/>
  <c r="AB328" i="30"/>
  <c r="AB324" i="30"/>
  <c r="AB322" i="30"/>
  <c r="AB321" i="30"/>
  <c r="AB319" i="30"/>
  <c r="AB280" i="30"/>
  <c r="AC256" i="30"/>
  <c r="AC253" i="30"/>
  <c r="AB234" i="30"/>
  <c r="AP229" i="30"/>
  <c r="AP228" i="30"/>
  <c r="AB213" i="30"/>
  <c r="AB207" i="30"/>
  <c r="AB205" i="30"/>
  <c r="AB204" i="30"/>
  <c r="AB202" i="30"/>
  <c r="AB201" i="30"/>
  <c r="AI200" i="30"/>
  <c r="AI198" i="30"/>
  <c r="AB197" i="30"/>
  <c r="AI196" i="30"/>
  <c r="AI195" i="30"/>
  <c r="AB191" i="30"/>
  <c r="AB187" i="30"/>
  <c r="AL184" i="30"/>
  <c r="AB176" i="30"/>
  <c r="AK169" i="30"/>
  <c r="AJ169" i="30"/>
  <c r="AM169" i="30" s="1"/>
  <c r="AI169" i="30"/>
  <c r="AK168" i="30"/>
  <c r="AJ168" i="30"/>
  <c r="AJ173" i="30" s="1"/>
  <c r="AI168" i="30"/>
  <c r="AM167" i="30"/>
  <c r="AK167" i="30"/>
  <c r="AJ167" i="30"/>
  <c r="AI167" i="30"/>
  <c r="AK165" i="30"/>
  <c r="AJ165" i="30"/>
  <c r="AM165" i="30" s="1"/>
  <c r="AI165" i="30"/>
  <c r="AK164" i="30"/>
  <c r="AJ164" i="30"/>
  <c r="AI164" i="30"/>
  <c r="AK163" i="30"/>
  <c r="AJ163" i="30"/>
  <c r="AM163" i="30" s="1"/>
  <c r="AI163" i="30"/>
  <c r="AK162" i="30"/>
  <c r="AJ162" i="30"/>
  <c r="AI162" i="30"/>
  <c r="AK161" i="30"/>
  <c r="AJ161" i="30"/>
  <c r="AM161" i="30" s="1"/>
  <c r="AI161" i="30"/>
  <c r="AK160" i="30"/>
  <c r="AJ160" i="30"/>
  <c r="AM160" i="30" s="1"/>
  <c r="AI160" i="30"/>
  <c r="AK159" i="30"/>
  <c r="AL185" i="30" s="1"/>
  <c r="AJ159" i="30"/>
  <c r="AM159" i="30" s="1"/>
  <c r="AI159" i="30"/>
  <c r="AK158" i="30"/>
  <c r="AL158" i="30" s="1"/>
  <c r="AJ158" i="30"/>
  <c r="AM158" i="30" s="1"/>
  <c r="AI158" i="30"/>
  <c r="AK157" i="30"/>
  <c r="AJ157" i="30"/>
  <c r="AM157" i="30" s="1"/>
  <c r="AI157" i="30"/>
  <c r="AK156" i="30"/>
  <c r="AM156" i="30" s="1"/>
  <c r="AJ156" i="30"/>
  <c r="AI156" i="30"/>
  <c r="AK155" i="30"/>
  <c r="AJ155" i="30"/>
  <c r="AM155" i="30" s="1"/>
  <c r="AI155" i="30"/>
  <c r="AK154" i="30"/>
  <c r="AJ154" i="30"/>
  <c r="AM154" i="30" s="1"/>
  <c r="AI154" i="30"/>
  <c r="AK153" i="30"/>
  <c r="AL181" i="30" s="1"/>
  <c r="AM182" i="30" s="1"/>
  <c r="AJ153" i="30"/>
  <c r="AM153" i="30" s="1"/>
  <c r="AI153" i="30"/>
  <c r="AK152" i="30"/>
  <c r="AJ152" i="30"/>
  <c r="AI152" i="30"/>
  <c r="AK151" i="30"/>
  <c r="AL180" i="30" s="1"/>
  <c r="AJ151" i="30"/>
  <c r="AM151" i="30" s="1"/>
  <c r="AI151" i="30"/>
  <c r="AK150" i="30"/>
  <c r="AJ150" i="30"/>
  <c r="AM150" i="30" s="1"/>
  <c r="AI150" i="30"/>
  <c r="AK148" i="30"/>
  <c r="AJ148" i="30"/>
  <c r="AM148" i="30" s="1"/>
  <c r="AI148" i="30"/>
  <c r="AK147" i="30"/>
  <c r="AJ147" i="30"/>
  <c r="AI147" i="30"/>
  <c r="AK145" i="30"/>
  <c r="AJ145" i="30"/>
  <c r="AM145" i="30" s="1"/>
  <c r="AI145" i="30"/>
  <c r="AK144" i="30"/>
  <c r="AJ144" i="30"/>
  <c r="AJ171" i="30" s="1"/>
  <c r="AI144" i="30"/>
  <c r="AK143" i="30"/>
  <c r="AK192" i="30" s="1"/>
  <c r="AJ143" i="30"/>
  <c r="AM143" i="30" s="1"/>
  <c r="AI143" i="30"/>
  <c r="AK142" i="30"/>
  <c r="AJ142" i="30"/>
  <c r="AI142" i="30"/>
  <c r="AM141" i="30"/>
  <c r="AK141" i="30"/>
  <c r="AI190" i="30" s="1"/>
  <c r="AJ141" i="30"/>
  <c r="AI141" i="30"/>
  <c r="AK140" i="30"/>
  <c r="AL140" i="30" s="1"/>
  <c r="AL188" i="30" s="1"/>
  <c r="AB188" i="30" s="1"/>
  <c r="AJ140" i="30"/>
  <c r="AM140" i="30" s="1"/>
  <c r="AI140" i="30"/>
  <c r="AK138" i="30"/>
  <c r="AJ138" i="30"/>
  <c r="AI138" i="30"/>
  <c r="AB136" i="30"/>
  <c r="AB133" i="30"/>
  <c r="AB129" i="30"/>
  <c r="AG124" i="30"/>
  <c r="AG120" i="30"/>
  <c r="AB107" i="30"/>
  <c r="AB101" i="30"/>
  <c r="AB99" i="30"/>
  <c r="AB93" i="30"/>
  <c r="AB92" i="30"/>
  <c r="AC89" i="30"/>
  <c r="AB87" i="30"/>
  <c r="AB86" i="30"/>
  <c r="AB81" i="30"/>
  <c r="AB80" i="30"/>
  <c r="AB78" i="30"/>
  <c r="AB71" i="30"/>
  <c r="AB70" i="30"/>
  <c r="AB65" i="30"/>
  <c r="AC58" i="30"/>
  <c r="AB58" i="30"/>
  <c r="AB57" i="30"/>
  <c r="AH39" i="30"/>
  <c r="AG31" i="30"/>
  <c r="AG30" i="30"/>
  <c r="AG29" i="30"/>
  <c r="AG28" i="30"/>
  <c r="AG27" i="30"/>
  <c r="AG23" i="30"/>
  <c r="AG191" i="29"/>
  <c r="AF187" i="29"/>
  <c r="AH162" i="29"/>
  <c r="AG162" i="29"/>
  <c r="AF162" i="29"/>
  <c r="AK154" i="29"/>
  <c r="AJ154" i="29"/>
  <c r="AI154" i="29"/>
  <c r="AH154" i="29"/>
  <c r="AG154" i="29"/>
  <c r="AF154" i="29"/>
  <c r="AE154" i="29"/>
  <c r="AD154" i="29"/>
  <c r="AB146" i="29"/>
  <c r="AN142" i="29"/>
  <c r="AI142" i="29"/>
  <c r="BB141" i="29"/>
  <c r="BA141" i="29"/>
  <c r="AW141" i="29"/>
  <c r="AV141" i="29"/>
  <c r="AX141" i="29" s="1"/>
  <c r="AS141" i="29"/>
  <c r="AR141" i="29"/>
  <c r="AQ141" i="29"/>
  <c r="AN141" i="29"/>
  <c r="AI141" i="29"/>
  <c r="AN140" i="29"/>
  <c r="AI140" i="29"/>
  <c r="AY139" i="29"/>
  <c r="AX139" i="29"/>
  <c r="AW139" i="29"/>
  <c r="AV139" i="29"/>
  <c r="AR139" i="29"/>
  <c r="AQ139" i="29"/>
  <c r="AS139" i="29" s="1"/>
  <c r="AN139" i="29"/>
  <c r="AI139" i="29"/>
  <c r="AY138" i="29"/>
  <c r="AW138" i="29"/>
  <c r="AV138" i="29"/>
  <c r="AX138" i="29" s="1"/>
  <c r="AR138" i="29"/>
  <c r="AQ138" i="29"/>
  <c r="AS138" i="29" s="1"/>
  <c r="AN138" i="29"/>
  <c r="AI138" i="29"/>
  <c r="AY137" i="29"/>
  <c r="AW137" i="29"/>
  <c r="AV137" i="29"/>
  <c r="AX137" i="29" s="1"/>
  <c r="AR137" i="29"/>
  <c r="AQ137" i="29"/>
  <c r="AS137" i="29" s="1"/>
  <c r="AN137" i="29"/>
  <c r="AI137" i="29"/>
  <c r="AY136" i="29"/>
  <c r="AW136" i="29"/>
  <c r="AV136" i="29"/>
  <c r="AX136" i="29" s="1"/>
  <c r="AR136" i="29"/>
  <c r="AQ136" i="29"/>
  <c r="AS136" i="29" s="1"/>
  <c r="AN136" i="29"/>
  <c r="AI136" i="29"/>
  <c r="AY135" i="29"/>
  <c r="AW135" i="29"/>
  <c r="AV135" i="29"/>
  <c r="AX135" i="29" s="1"/>
  <c r="AR135" i="29"/>
  <c r="AQ135" i="29"/>
  <c r="AS135" i="29" s="1"/>
  <c r="AN135" i="29"/>
  <c r="AI135" i="29"/>
  <c r="AY134" i="29"/>
  <c r="AW134" i="29"/>
  <c r="AV134" i="29"/>
  <c r="AX134" i="29" s="1"/>
  <c r="AR134" i="29"/>
  <c r="AQ134" i="29"/>
  <c r="AS134" i="29" s="1"/>
  <c r="AN134" i="29"/>
  <c r="AI134" i="29"/>
  <c r="AY133" i="29"/>
  <c r="AW133" i="29"/>
  <c r="AV133" i="29"/>
  <c r="AX133" i="29" s="1"/>
  <c r="AR133" i="29"/>
  <c r="AQ133" i="29"/>
  <c r="AS133" i="29" s="1"/>
  <c r="AN133" i="29"/>
  <c r="AI133" i="29"/>
  <c r="AY132" i="29"/>
  <c r="AW132" i="29"/>
  <c r="AV132" i="29"/>
  <c r="AX132" i="29" s="1"/>
  <c r="AR132" i="29"/>
  <c r="AQ132" i="29"/>
  <c r="AS132" i="29" s="1"/>
  <c r="AN132" i="29"/>
  <c r="AI132" i="29"/>
  <c r="AY131" i="29"/>
  <c r="AW131" i="29"/>
  <c r="AV131" i="29"/>
  <c r="AX131" i="29" s="1"/>
  <c r="AR131" i="29"/>
  <c r="AQ131" i="29"/>
  <c r="AN131" i="29"/>
  <c r="AI131" i="29"/>
  <c r="AI129" i="29" s="1"/>
  <c r="AY130" i="29"/>
  <c r="AW130" i="29"/>
  <c r="AV130" i="29"/>
  <c r="AX130" i="29" s="1"/>
  <c r="AR130" i="29"/>
  <c r="AQ130" i="29"/>
  <c r="AS130" i="29" s="1"/>
  <c r="AN130" i="29"/>
  <c r="AI130" i="29"/>
  <c r="AZ129" i="29"/>
  <c r="AZ127" i="29" s="1"/>
  <c r="AU129" i="29"/>
  <c r="AU127" i="29" s="1"/>
  <c r="AT129" i="29"/>
  <c r="AT127" i="29" s="1"/>
  <c r="AP129" i="29"/>
  <c r="AP127" i="29" s="1"/>
  <c r="AO129" i="29"/>
  <c r="AO127" i="29" s="1"/>
  <c r="AN129" i="29"/>
  <c r="AM129" i="29"/>
  <c r="AM127" i="29" s="1"/>
  <c r="AL129" i="29"/>
  <c r="AL127" i="29" s="1"/>
  <c r="AK129" i="29"/>
  <c r="AK127" i="29" s="1"/>
  <c r="AJ129" i="29"/>
  <c r="AJ127" i="29" s="1"/>
  <c r="AH129" i="29"/>
  <c r="AH127" i="29" s="1"/>
  <c r="AG129" i="29"/>
  <c r="AG127" i="29" s="1"/>
  <c r="AF129" i="29"/>
  <c r="AF127" i="29" s="1"/>
  <c r="AE129" i="29"/>
  <c r="AE127" i="29" s="1"/>
  <c r="AY128" i="29"/>
  <c r="AW128" i="29"/>
  <c r="AV128" i="29"/>
  <c r="AX128" i="29" s="1"/>
  <c r="AS128" i="29"/>
  <c r="AR128" i="29"/>
  <c r="AQ128" i="29"/>
  <c r="AN128" i="29"/>
  <c r="AI128" i="29"/>
  <c r="AY126" i="29"/>
  <c r="AW126" i="29"/>
  <c r="AV126" i="29"/>
  <c r="AX126" i="29" s="1"/>
  <c r="AR126" i="29"/>
  <c r="AQ126" i="29"/>
  <c r="AS126" i="29" s="1"/>
  <c r="AN126" i="29"/>
  <c r="AI126" i="29"/>
  <c r="AY125" i="29"/>
  <c r="AW125" i="29"/>
  <c r="AV125" i="29"/>
  <c r="AX125" i="29" s="1"/>
  <c r="AR125" i="29"/>
  <c r="AQ125" i="29"/>
  <c r="AS125" i="29" s="1"/>
  <c r="AN125" i="29"/>
  <c r="AI125" i="29"/>
  <c r="AY124" i="29"/>
  <c r="AW124" i="29"/>
  <c r="AV124" i="29"/>
  <c r="AR124" i="29"/>
  <c r="AQ124" i="29"/>
  <c r="AN124" i="29"/>
  <c r="AN123" i="29" s="1"/>
  <c r="AI124" i="29"/>
  <c r="AZ123" i="29"/>
  <c r="AY123" i="29"/>
  <c r="AU123" i="29"/>
  <c r="AT123" i="29"/>
  <c r="AP123" i="29"/>
  <c r="AO123" i="29"/>
  <c r="AM123" i="29"/>
  <c r="AL123" i="29"/>
  <c r="AK123" i="29"/>
  <c r="AJ123" i="29"/>
  <c r="AI123" i="29"/>
  <c r="AH123" i="29"/>
  <c r="AG123" i="29"/>
  <c r="AF123" i="29"/>
  <c r="AE123" i="29"/>
  <c r="AY121" i="29"/>
  <c r="AT121" i="29"/>
  <c r="AO121" i="29"/>
  <c r="AJ121" i="29"/>
  <c r="AE121" i="29"/>
  <c r="AI116" i="29"/>
  <c r="AF116" i="29"/>
  <c r="AG112" i="29"/>
  <c r="AE112" i="29"/>
  <c r="AI110" i="29"/>
  <c r="AH110" i="29"/>
  <c r="AG106" i="29"/>
  <c r="AF106" i="29"/>
  <c r="AE106" i="29"/>
  <c r="AG105" i="29"/>
  <c r="AF105" i="29"/>
  <c r="AE105" i="29"/>
  <c r="AG104" i="29"/>
  <c r="AF104" i="29"/>
  <c r="AE104" i="29"/>
  <c r="AG103" i="29"/>
  <c r="AF103" i="29"/>
  <c r="AE103" i="29"/>
  <c r="AG102" i="29"/>
  <c r="AF102" i="29"/>
  <c r="AE102" i="29"/>
  <c r="AG101" i="29"/>
  <c r="AF101" i="29"/>
  <c r="AE101" i="29"/>
  <c r="AG100" i="29"/>
  <c r="AF100" i="29"/>
  <c r="AF99" i="29" s="1"/>
  <c r="AE100" i="29"/>
  <c r="AR99" i="29"/>
  <c r="AQ99" i="29"/>
  <c r="AP99" i="29"/>
  <c r="AO99" i="29"/>
  <c r="AJ99" i="29"/>
  <c r="AK96" i="29"/>
  <c r="AM96" i="29" s="1"/>
  <c r="AI96" i="29"/>
  <c r="AH96" i="29"/>
  <c r="AG96" i="29"/>
  <c r="AH178" i="29" s="1"/>
  <c r="AF96" i="29"/>
  <c r="AG178" i="29" s="1"/>
  <c r="AE96" i="29"/>
  <c r="AF178" i="29" s="1"/>
  <c r="AH95" i="29"/>
  <c r="AE95" i="29"/>
  <c r="AH94" i="29"/>
  <c r="AE94" i="29"/>
  <c r="AF176" i="29" s="1"/>
  <c r="AK93" i="29"/>
  <c r="AN93" i="29" s="1"/>
  <c r="AH93" i="29"/>
  <c r="AG93" i="29"/>
  <c r="AH175" i="29" s="1"/>
  <c r="AE93" i="29"/>
  <c r="AF175" i="29" s="1"/>
  <c r="AK92" i="29"/>
  <c r="AN92" i="29" s="1"/>
  <c r="AI92" i="29"/>
  <c r="AH92" i="29"/>
  <c r="AM92" i="29" s="1"/>
  <c r="AF92" i="29"/>
  <c r="AG174" i="29" s="1"/>
  <c r="AE92" i="29"/>
  <c r="AF174" i="29" s="1"/>
  <c r="AH91" i="29"/>
  <c r="AE91" i="29"/>
  <c r="AF173" i="29" s="1"/>
  <c r="AH88" i="29"/>
  <c r="AE88" i="29"/>
  <c r="AF170" i="29" s="1"/>
  <c r="AH87" i="29"/>
  <c r="AE87" i="29"/>
  <c r="AF169" i="29" s="1"/>
  <c r="AK86" i="29"/>
  <c r="AI86" i="29"/>
  <c r="AH86" i="29"/>
  <c r="AG86" i="29"/>
  <c r="AF86" i="29"/>
  <c r="AE86" i="29"/>
  <c r="AF168" i="29" s="1"/>
  <c r="AJ85" i="29"/>
  <c r="AJ98" i="29" s="1"/>
  <c r="AH84" i="29"/>
  <c r="AE84" i="29"/>
  <c r="AF166" i="29" s="1"/>
  <c r="AK82" i="29"/>
  <c r="AI82" i="29"/>
  <c r="AH82" i="29"/>
  <c r="AG82" i="29"/>
  <c r="AH164" i="29" s="1"/>
  <c r="AF82" i="29"/>
  <c r="AG164" i="29" s="1"/>
  <c r="AE82" i="29"/>
  <c r="AF164" i="29" s="1"/>
  <c r="AK78" i="29"/>
  <c r="AN78" i="29" s="1"/>
  <c r="AH78" i="29"/>
  <c r="AG78" i="29"/>
  <c r="AF78" i="29"/>
  <c r="AH76" i="29"/>
  <c r="AE76" i="29"/>
  <c r="AH75" i="29"/>
  <c r="AE75" i="29"/>
  <c r="AH74" i="29"/>
  <c r="AE74" i="29"/>
  <c r="AH73" i="29"/>
  <c r="AE73" i="29"/>
  <c r="AH72" i="29"/>
  <c r="AE72" i="29"/>
  <c r="AH71" i="29"/>
  <c r="AE71" i="29"/>
  <c r="AH70" i="29"/>
  <c r="AE70" i="29"/>
  <c r="AH69" i="29"/>
  <c r="AE69" i="29"/>
  <c r="AH68" i="29"/>
  <c r="AE68" i="29"/>
  <c r="AH67" i="29"/>
  <c r="AE67" i="29"/>
  <c r="AJ66" i="29"/>
  <c r="AJ64" i="29" s="1"/>
  <c r="AH65" i="29"/>
  <c r="AE65" i="29"/>
  <c r="AS63" i="29"/>
  <c r="AH63" i="29"/>
  <c r="AE63" i="29"/>
  <c r="AH62" i="29"/>
  <c r="AE62" i="29"/>
  <c r="AH61" i="29"/>
  <c r="AE61" i="29"/>
  <c r="AJ60" i="29"/>
  <c r="AR59" i="29"/>
  <c r="AQ59" i="29"/>
  <c r="AP59" i="29"/>
  <c r="AO59" i="29"/>
  <c r="AN59" i="29"/>
  <c r="AM59" i="29"/>
  <c r="AK59" i="29"/>
  <c r="AJ59" i="29"/>
  <c r="AI59" i="29"/>
  <c r="AH59" i="29"/>
  <c r="AG59" i="29"/>
  <c r="AF59" i="29"/>
  <c r="AE59" i="29"/>
  <c r="AK56" i="29"/>
  <c r="AJ56" i="29"/>
  <c r="AI56" i="29"/>
  <c r="AH56" i="29"/>
  <c r="AG56" i="29"/>
  <c r="AF56" i="29"/>
  <c r="AE56" i="29"/>
  <c r="AE51" i="29"/>
  <c r="AE156" i="29" s="1"/>
  <c r="AE50" i="29"/>
  <c r="AK49" i="29"/>
  <c r="AJ49" i="29"/>
  <c r="AI49" i="29"/>
  <c r="AH49" i="29"/>
  <c r="AG49" i="29"/>
  <c r="AF49" i="29"/>
  <c r="AE49" i="29"/>
  <c r="AC46" i="29"/>
  <c r="AC45" i="29"/>
  <c r="AC44" i="29"/>
  <c r="AC43" i="29"/>
  <c r="AE41" i="29"/>
  <c r="AT36" i="29"/>
  <c r="AS36" i="29"/>
  <c r="AR36" i="29"/>
  <c r="AQ36" i="29"/>
  <c r="AK31" i="29"/>
  <c r="AJ31" i="29"/>
  <c r="AI31" i="29"/>
  <c r="AH31" i="29"/>
  <c r="AG31" i="29"/>
  <c r="AK30" i="29"/>
  <c r="AJ30" i="29"/>
  <c r="AI30" i="29"/>
  <c r="AH30" i="29"/>
  <c r="AG30" i="29"/>
  <c r="AK29" i="29"/>
  <c r="AJ29" i="29"/>
  <c r="AI29" i="29"/>
  <c r="AH29" i="29"/>
  <c r="AG29" i="29"/>
  <c r="AT27" i="29"/>
  <c r="AS27" i="29"/>
  <c r="AR27" i="29"/>
  <c r="AQ27" i="29"/>
  <c r="AP27" i="29"/>
  <c r="AK27" i="29"/>
  <c r="AJ27" i="29"/>
  <c r="AI27" i="29"/>
  <c r="AH27" i="29"/>
  <c r="AG27" i="29"/>
  <c r="AB22" i="29"/>
  <c r="AB21" i="29"/>
  <c r="AK108" i="28"/>
  <c r="AK109" i="28" s="1"/>
  <c r="AJ108" i="28"/>
  <c r="AJ109" i="28" s="1"/>
  <c r="AI108" i="28"/>
  <c r="AI109" i="28" s="1"/>
  <c r="AG108" i="28"/>
  <c r="AG109" i="28" s="1"/>
  <c r="AF108" i="28"/>
  <c r="AE108" i="28"/>
  <c r="AE109" i="28" s="1"/>
  <c r="AK106" i="28"/>
  <c r="AJ106" i="28"/>
  <c r="AI106" i="28"/>
  <c r="AG106" i="28"/>
  <c r="AF106" i="28"/>
  <c r="AE106" i="28"/>
  <c r="AI99" i="28"/>
  <c r="AH99" i="28"/>
  <c r="AG99" i="28"/>
  <c r="AF99" i="28"/>
  <c r="AE99" i="28"/>
  <c r="AH98" i="28"/>
  <c r="AC98" i="28"/>
  <c r="AH97" i="28"/>
  <c r="AK92" i="28"/>
  <c r="AI92" i="28"/>
  <c r="AG92" i="28"/>
  <c r="AF92" i="28"/>
  <c r="AE92" i="28"/>
  <c r="AM89" i="28"/>
  <c r="AL89" i="28"/>
  <c r="AH89" i="28"/>
  <c r="AM88" i="28"/>
  <c r="AL88" i="28"/>
  <c r="AH88" i="28"/>
  <c r="AM87" i="28"/>
  <c r="AL87" i="28"/>
  <c r="AH87" i="28"/>
  <c r="AM86" i="28"/>
  <c r="AL86" i="28"/>
  <c r="AH86" i="28"/>
  <c r="AM85" i="28"/>
  <c r="AL85" i="28"/>
  <c r="AH85" i="28"/>
  <c r="AI84" i="28"/>
  <c r="AE84" i="28"/>
  <c r="AM83" i="28"/>
  <c r="AL83" i="28"/>
  <c r="AH83" i="28"/>
  <c r="AM82" i="28"/>
  <c r="AL82" i="28"/>
  <c r="AH82" i="28"/>
  <c r="AM81" i="28"/>
  <c r="AL81" i="28"/>
  <c r="AH81" i="28"/>
  <c r="AM80" i="28"/>
  <c r="AL80" i="28"/>
  <c r="AH80" i="28"/>
  <c r="AM79" i="28"/>
  <c r="AL79" i="28"/>
  <c r="AH79" i="28"/>
  <c r="AI78" i="28"/>
  <c r="AE78" i="28"/>
  <c r="AK77" i="28"/>
  <c r="AI77" i="28"/>
  <c r="AF77" i="28"/>
  <c r="AE77" i="28"/>
  <c r="AI76" i="28"/>
  <c r="AE76" i="28"/>
  <c r="AK75" i="28"/>
  <c r="AJ75" i="28"/>
  <c r="AI75" i="28"/>
  <c r="AG75" i="28"/>
  <c r="AF75" i="28"/>
  <c r="AH75" i="28" s="1"/>
  <c r="AE75" i="28"/>
  <c r="AI74" i="28"/>
  <c r="AI72" i="28"/>
  <c r="AE72" i="28"/>
  <c r="AM71" i="28"/>
  <c r="AL71" i="28"/>
  <c r="AH71" i="28"/>
  <c r="AM70" i="28"/>
  <c r="AL70" i="28"/>
  <c r="AH70" i="28"/>
  <c r="AM69" i="28"/>
  <c r="AL69" i="28"/>
  <c r="AH69" i="28"/>
  <c r="AM68" i="28"/>
  <c r="AL68" i="28"/>
  <c r="AH68" i="28"/>
  <c r="AM67" i="28"/>
  <c r="AL67" i="28"/>
  <c r="AH67" i="28"/>
  <c r="AI66" i="28"/>
  <c r="AE66" i="28"/>
  <c r="AK65" i="28"/>
  <c r="AJ65" i="28"/>
  <c r="AI65" i="28"/>
  <c r="AG65" i="28"/>
  <c r="AF65" i="28"/>
  <c r="AE65" i="28"/>
  <c r="AI64" i="28"/>
  <c r="AE64" i="28"/>
  <c r="AK62" i="28"/>
  <c r="AJ62" i="28"/>
  <c r="AI62" i="28"/>
  <c r="AG62" i="28"/>
  <c r="AF62" i="28"/>
  <c r="AE62" i="28"/>
  <c r="AK61" i="28"/>
  <c r="AJ61" i="28"/>
  <c r="AI61" i="28"/>
  <c r="AG61" i="28"/>
  <c r="AF61" i="28"/>
  <c r="AE61" i="28"/>
  <c r="AI55" i="28"/>
  <c r="AE55" i="28"/>
  <c r="AI54" i="28"/>
  <c r="AG54" i="28"/>
  <c r="AF54" i="28"/>
  <c r="AE54" i="28"/>
  <c r="AK53" i="28"/>
  <c r="AI53" i="28"/>
  <c r="AG53" i="28"/>
  <c r="AF53" i="28"/>
  <c r="AI52" i="28"/>
  <c r="AE52" i="28"/>
  <c r="AI51" i="28"/>
  <c r="AE51" i="28"/>
  <c r="AI50" i="28"/>
  <c r="AE50" i="28"/>
  <c r="AI49" i="28"/>
  <c r="AE49" i="28"/>
  <c r="AI48" i="28"/>
  <c r="AE48" i="28"/>
  <c r="AI47" i="28"/>
  <c r="AE47" i="28"/>
  <c r="AI46" i="28"/>
  <c r="AE46" i="28"/>
  <c r="AI45" i="28"/>
  <c r="AE45" i="28"/>
  <c r="AI44" i="28"/>
  <c r="AE44" i="28"/>
  <c r="AI42" i="28"/>
  <c r="AE42" i="28"/>
  <c r="AK39" i="28"/>
  <c r="AL39" i="28" s="1"/>
  <c r="AJ39" i="28"/>
  <c r="AI39" i="28"/>
  <c r="AG39" i="28"/>
  <c r="AF39" i="28"/>
  <c r="AE39" i="28"/>
  <c r="AI38" i="28"/>
  <c r="AI40" i="28" s="1"/>
  <c r="AE38" i="28"/>
  <c r="AI37" i="28"/>
  <c r="AE37" i="28"/>
  <c r="AI36" i="28"/>
  <c r="AE36" i="28"/>
  <c r="AQ32" i="28"/>
  <c r="AP32" i="28"/>
  <c r="AO32" i="28"/>
  <c r="AN32" i="28"/>
  <c r="AK32" i="28"/>
  <c r="AJ32" i="28"/>
  <c r="AI32" i="28"/>
  <c r="AG32" i="28"/>
  <c r="AF32" i="28"/>
  <c r="AH32" i="28" s="1"/>
  <c r="AE32" i="28"/>
  <c r="AE31" i="28"/>
  <c r="AJ29" i="28"/>
  <c r="AG29" i="28"/>
  <c r="AF29" i="28"/>
  <c r="AE29" i="28"/>
  <c r="AJ28" i="28"/>
  <c r="AG28" i="28"/>
  <c r="AF28" i="28"/>
  <c r="AE28" i="28"/>
  <c r="AQ26" i="28"/>
  <c r="AN26" i="28"/>
  <c r="AO26" i="28" s="1"/>
  <c r="AM26" i="28"/>
  <c r="AI26" i="28"/>
  <c r="AE26" i="28"/>
  <c r="AF26" i="28" s="1"/>
  <c r="AC26" i="28"/>
  <c r="AD26" i="28" s="1"/>
  <c r="AQ24" i="28"/>
  <c r="AP24" i="28"/>
  <c r="AO24" i="28"/>
  <c r="AN24" i="28"/>
  <c r="AJ24" i="28"/>
  <c r="AI24" i="28"/>
  <c r="AE24" i="28"/>
  <c r="AB21" i="28"/>
  <c r="AQ2" i="28"/>
  <c r="AP2" i="28"/>
  <c r="AO2" i="28"/>
  <c r="AN2" i="28"/>
  <c r="BH13" i="57"/>
  <c r="AH886" i="30"/>
  <c r="AM907" i="30"/>
  <c r="AG95" i="28"/>
  <c r="AE95" i="28"/>
  <c r="AH105" i="29"/>
  <c r="AH104" i="29"/>
  <c r="AH106" i="29"/>
  <c r="AH102" i="29"/>
  <c r="AH103" i="29"/>
  <c r="AH101" i="29"/>
  <c r="AN106" i="28"/>
  <c r="AN93" i="28"/>
  <c r="AI93" i="28"/>
  <c r="AN92" i="28"/>
  <c r="AN75" i="28"/>
  <c r="BM38" i="67"/>
  <c r="CE38" i="67"/>
  <c r="AK764" i="30"/>
  <c r="AH90" i="29"/>
  <c r="AI84" i="29"/>
  <c r="AH475" i="30"/>
  <c r="AJ475" i="30" s="1"/>
  <c r="AH474" i="30"/>
  <c r="AJ474" i="30" s="1"/>
  <c r="AJ54" i="28"/>
  <c r="AK501" i="30"/>
  <c r="AK337" i="31"/>
  <c r="AC253" i="31"/>
  <c r="D432" i="78"/>
  <c r="D431" i="78"/>
  <c r="D430" i="78"/>
  <c r="D427" i="78"/>
  <c r="D426" i="78"/>
  <c r="D425" i="78"/>
  <c r="D421" i="78"/>
  <c r="D223" i="78"/>
  <c r="D222" i="78"/>
  <c r="D221" i="78"/>
  <c r="D218" i="78"/>
  <c r="D217" i="78"/>
  <c r="D216" i="78"/>
  <c r="D213" i="78"/>
  <c r="D212" i="78"/>
  <c r="D211" i="78"/>
  <c r="D418" i="78"/>
  <c r="D417" i="78"/>
  <c r="D416" i="78"/>
  <c r="D415" i="78"/>
  <c r="D413" i="78"/>
  <c r="D412" i="78"/>
  <c r="D411" i="78"/>
  <c r="D410" i="78"/>
  <c r="D409" i="78"/>
  <c r="D408" i="78"/>
  <c r="D407" i="78"/>
  <c r="D406" i="78"/>
  <c r="D405" i="78"/>
  <c r="D404" i="78"/>
  <c r="D208" i="78"/>
  <c r="D207" i="78"/>
  <c r="D206" i="78"/>
  <c r="D203" i="78"/>
  <c r="D202" i="78"/>
  <c r="D201" i="78"/>
  <c r="D198" i="78"/>
  <c r="D197" i="78"/>
  <c r="D196" i="78"/>
  <c r="D402" i="78"/>
  <c r="D401" i="78"/>
  <c r="D400" i="78"/>
  <c r="D397" i="78"/>
  <c r="D396" i="78"/>
  <c r="D395" i="78"/>
  <c r="D391" i="78"/>
  <c r="D194" i="78"/>
  <c r="D193" i="78"/>
  <c r="D192" i="78"/>
  <c r="D191" i="78"/>
  <c r="D189" i="78"/>
  <c r="D188" i="78"/>
  <c r="D187" i="78"/>
  <c r="D186" i="78"/>
  <c r="D185" i="78"/>
  <c r="D184" i="78"/>
  <c r="D183" i="78"/>
  <c r="D182" i="78"/>
  <c r="D181" i="78"/>
  <c r="D388" i="78"/>
  <c r="D387" i="78"/>
  <c r="D386" i="78"/>
  <c r="D385" i="78"/>
  <c r="D384" i="78"/>
  <c r="D383" i="78"/>
  <c r="D382" i="78"/>
  <c r="D381" i="78"/>
  <c r="D380" i="78"/>
  <c r="D377" i="78"/>
  <c r="D376" i="78"/>
  <c r="D375" i="78"/>
  <c r="D179" i="78"/>
  <c r="D178" i="78"/>
  <c r="D177" i="78"/>
  <c r="D176" i="78"/>
  <c r="D174" i="78"/>
  <c r="D173" i="78"/>
  <c r="D172" i="78"/>
  <c r="D171" i="78"/>
  <c r="D170" i="78"/>
  <c r="D169" i="78"/>
  <c r="D168" i="78"/>
  <c r="D167" i="78"/>
  <c r="D166" i="78"/>
  <c r="D371" i="78"/>
  <c r="D370" i="78"/>
  <c r="D366" i="78"/>
  <c r="D365" i="78"/>
  <c r="D361" i="78"/>
  <c r="D360" i="78"/>
  <c r="D163" i="78"/>
  <c r="D162" i="78"/>
  <c r="D161" i="78"/>
  <c r="D158" i="78"/>
  <c r="D157" i="78"/>
  <c r="D156" i="78"/>
  <c r="D153" i="78"/>
  <c r="D152" i="78"/>
  <c r="D151" i="78"/>
  <c r="D358" i="78"/>
  <c r="D357" i="78"/>
  <c r="D356" i="78"/>
  <c r="D355" i="78"/>
  <c r="D354" i="78"/>
  <c r="D353" i="78"/>
  <c r="D352" i="78"/>
  <c r="D351" i="78"/>
  <c r="D350" i="78"/>
  <c r="D348" i="78"/>
  <c r="D347" i="78"/>
  <c r="D346" i="78"/>
  <c r="D345" i="78"/>
  <c r="D148" i="78"/>
  <c r="D147" i="78"/>
  <c r="D146" i="78"/>
  <c r="D143" i="78"/>
  <c r="D142" i="78"/>
  <c r="D141" i="78"/>
  <c r="D138" i="78"/>
  <c r="D137" i="78"/>
  <c r="D136" i="78"/>
  <c r="D342" i="78"/>
  <c r="D341" i="78"/>
  <c r="D340" i="78"/>
  <c r="D337" i="78"/>
  <c r="D336" i="78"/>
  <c r="D335" i="78"/>
  <c r="D331" i="78"/>
  <c r="D330" i="78"/>
  <c r="D133" i="78"/>
  <c r="D132" i="78"/>
  <c r="D131" i="78"/>
  <c r="D128" i="78"/>
  <c r="D127" i="78"/>
  <c r="D126" i="78"/>
  <c r="D123" i="78"/>
  <c r="D122" i="78"/>
  <c r="D121" i="78"/>
  <c r="D328" i="78"/>
  <c r="D327" i="78"/>
  <c r="D326" i="78"/>
  <c r="D325" i="78"/>
  <c r="D324" i="78"/>
  <c r="D323" i="78"/>
  <c r="D322" i="78"/>
  <c r="D321" i="78"/>
  <c r="D320" i="78"/>
  <c r="D318" i="78"/>
  <c r="D317" i="78"/>
  <c r="D316" i="78"/>
  <c r="D315" i="78"/>
  <c r="D314" i="78"/>
  <c r="D119" i="78"/>
  <c r="D118" i="78"/>
  <c r="D117" i="78"/>
  <c r="D116" i="78"/>
  <c r="D114" i="78"/>
  <c r="D113" i="78"/>
  <c r="D112" i="78"/>
  <c r="D111" i="78"/>
  <c r="D110" i="78"/>
  <c r="D108" i="78"/>
  <c r="D107" i="78"/>
  <c r="D106" i="78"/>
  <c r="D294" i="78"/>
  <c r="D289" i="78"/>
  <c r="D434" i="78"/>
  <c r="D226" i="78"/>
  <c r="D265" i="78"/>
  <c r="D260" i="78"/>
  <c r="D255" i="78"/>
  <c r="D56" i="78"/>
  <c r="D51" i="78"/>
  <c r="C432" i="78"/>
  <c r="C431" i="78"/>
  <c r="G431" i="78" s="1"/>
  <c r="C430" i="78"/>
  <c r="C427" i="78"/>
  <c r="G427" i="78" s="1"/>
  <c r="C426" i="78"/>
  <c r="C425" i="78"/>
  <c r="G425" i="78" s="1"/>
  <c r="C422" i="78"/>
  <c r="C421" i="78"/>
  <c r="C420" i="78"/>
  <c r="C418" i="78"/>
  <c r="C417" i="78"/>
  <c r="G417" i="78" s="1"/>
  <c r="C416" i="78"/>
  <c r="C415" i="78"/>
  <c r="G415" i="78" s="1"/>
  <c r="C413" i="78"/>
  <c r="C412" i="78"/>
  <c r="G412" i="78" s="1"/>
  <c r="C411" i="78"/>
  <c r="C410" i="78"/>
  <c r="G410" i="78" s="1"/>
  <c r="C408" i="78"/>
  <c r="G408" i="78" s="1"/>
  <c r="C407" i="78"/>
  <c r="C406" i="78"/>
  <c r="G406" i="78" s="1"/>
  <c r="C405" i="78"/>
  <c r="C402" i="78"/>
  <c r="G402" i="78" s="1"/>
  <c r="C401" i="78"/>
  <c r="C400" i="78"/>
  <c r="G400" i="78" s="1"/>
  <c r="C397" i="78"/>
  <c r="C396" i="78"/>
  <c r="G396" i="78" s="1"/>
  <c r="C395" i="78"/>
  <c r="C392" i="78"/>
  <c r="C391" i="78"/>
  <c r="G391" i="78" s="1"/>
  <c r="C390" i="78"/>
  <c r="C388" i="78"/>
  <c r="G388" i="78" s="1"/>
  <c r="C387" i="78"/>
  <c r="G387" i="78" s="1"/>
  <c r="C386" i="78"/>
  <c r="G386" i="78" s="1"/>
  <c r="C385" i="78"/>
  <c r="G385" i="78" s="1"/>
  <c r="C383" i="78"/>
  <c r="C382" i="78"/>
  <c r="G382" i="78" s="1"/>
  <c r="C381" i="78"/>
  <c r="C380" i="78"/>
  <c r="G380" i="78" s="1"/>
  <c r="C379" i="78"/>
  <c r="C377" i="78"/>
  <c r="G377" i="78" s="1"/>
  <c r="C376" i="78"/>
  <c r="G376" i="78" s="1"/>
  <c r="C375" i="78"/>
  <c r="G375" i="78" s="1"/>
  <c r="C371" i="78"/>
  <c r="C370" i="78"/>
  <c r="G370" i="78" s="1"/>
  <c r="C366" i="78"/>
  <c r="C365" i="78"/>
  <c r="G365" i="78" s="1"/>
  <c r="C361" i="78"/>
  <c r="C360" i="78"/>
  <c r="G360" i="78" s="1"/>
  <c r="C358" i="78"/>
  <c r="G358" i="78" s="1"/>
  <c r="C357" i="78"/>
  <c r="C356" i="78"/>
  <c r="G356" i="78" s="1"/>
  <c r="C355" i="78"/>
  <c r="C353" i="78"/>
  <c r="C352" i="78"/>
  <c r="G352" i="78" s="1"/>
  <c r="C351" i="78"/>
  <c r="C350" i="78"/>
  <c r="G350" i="78" s="1"/>
  <c r="C348" i="78"/>
  <c r="C347" i="78"/>
  <c r="G347" i="78" s="1"/>
  <c r="C346" i="78"/>
  <c r="C345" i="78"/>
  <c r="G345" i="78" s="1"/>
  <c r="C342" i="78"/>
  <c r="G342" i="78" s="1"/>
  <c r="C341" i="78"/>
  <c r="G341" i="78" s="1"/>
  <c r="C340" i="78"/>
  <c r="G340" i="78" s="1"/>
  <c r="C338" i="78"/>
  <c r="C337" i="78"/>
  <c r="C336" i="78"/>
  <c r="G336" i="78" s="1"/>
  <c r="C335" i="78"/>
  <c r="C332" i="78"/>
  <c r="C331" i="78"/>
  <c r="G331" i="78" s="1"/>
  <c r="C330" i="78"/>
  <c r="C328" i="78"/>
  <c r="C327" i="78"/>
  <c r="G327" i="78" s="1"/>
  <c r="C326" i="78"/>
  <c r="C325" i="78"/>
  <c r="G325" i="78" s="1"/>
  <c r="C323" i="78"/>
  <c r="G323" i="78" s="1"/>
  <c r="C322" i="78"/>
  <c r="G322" i="78" s="1"/>
  <c r="C321" i="78"/>
  <c r="G321" i="78" s="1"/>
  <c r="C320" i="78"/>
  <c r="G320" i="78" s="1"/>
  <c r="C318" i="78"/>
  <c r="G318" i="78" s="1"/>
  <c r="C317" i="78"/>
  <c r="G317" i="78" s="1"/>
  <c r="C316" i="78"/>
  <c r="G316" i="78" s="1"/>
  <c r="C315" i="78"/>
  <c r="G315" i="78" s="1"/>
  <c r="C311" i="78"/>
  <c r="C310" i="78"/>
  <c r="C306" i="78"/>
  <c r="C305" i="78"/>
  <c r="C301" i="78"/>
  <c r="C300" i="78"/>
  <c r="C298" i="78"/>
  <c r="C297" i="78"/>
  <c r="C296" i="78"/>
  <c r="C295" i="78"/>
  <c r="C293" i="78"/>
  <c r="C292" i="78"/>
  <c r="C291" i="78"/>
  <c r="C290" i="78"/>
  <c r="C288" i="78"/>
  <c r="C287" i="78"/>
  <c r="C286" i="78"/>
  <c r="C285" i="78"/>
  <c r="C282" i="78"/>
  <c r="C281" i="78"/>
  <c r="C277" i="78"/>
  <c r="C276" i="78"/>
  <c r="C272" i="78"/>
  <c r="C271" i="78"/>
  <c r="C269" i="78"/>
  <c r="C268" i="78"/>
  <c r="C267" i="78"/>
  <c r="C266" i="78"/>
  <c r="C265" i="78"/>
  <c r="C264" i="78"/>
  <c r="C263" i="78"/>
  <c r="C262" i="78"/>
  <c r="C261" i="78"/>
  <c r="C260" i="78"/>
  <c r="C259" i="78"/>
  <c r="C258" i="78"/>
  <c r="C257" i="78"/>
  <c r="C256" i="78"/>
  <c r="C139" i="78"/>
  <c r="C38" i="78"/>
  <c r="C28" i="78"/>
  <c r="G28" i="78" s="1"/>
  <c r="C27" i="78"/>
  <c r="G27" i="78" s="1"/>
  <c r="C163" i="78"/>
  <c r="C162" i="78"/>
  <c r="G162" i="78" s="1"/>
  <c r="C161" i="78"/>
  <c r="C158" i="78"/>
  <c r="G158" i="78" s="1"/>
  <c r="C157" i="78"/>
  <c r="C156" i="78"/>
  <c r="G156" i="78" s="1"/>
  <c r="C153" i="78"/>
  <c r="C152" i="78"/>
  <c r="G152" i="78" s="1"/>
  <c r="C151" i="78"/>
  <c r="C149" i="78"/>
  <c r="C148" i="78"/>
  <c r="C147" i="78"/>
  <c r="G147" i="78" s="1"/>
  <c r="C146" i="78"/>
  <c r="C144" i="78"/>
  <c r="C143" i="78"/>
  <c r="G143" i="78" s="1"/>
  <c r="C142" i="78"/>
  <c r="G142" i="78" s="1"/>
  <c r="C141" i="78"/>
  <c r="G141" i="78" s="1"/>
  <c r="C138" i="78"/>
  <c r="G138" i="78" s="1"/>
  <c r="C137" i="78"/>
  <c r="G137" i="78" s="1"/>
  <c r="C136" i="78"/>
  <c r="G136" i="78" s="1"/>
  <c r="C133" i="78"/>
  <c r="G133" i="78" s="1"/>
  <c r="C132" i="78"/>
  <c r="G132" i="78" s="1"/>
  <c r="C131" i="78"/>
  <c r="G131" i="78" s="1"/>
  <c r="C128" i="78"/>
  <c r="G128" i="78" s="1"/>
  <c r="C127" i="78"/>
  <c r="G127" i="78" s="1"/>
  <c r="C126" i="78"/>
  <c r="G126" i="78" s="1"/>
  <c r="C123" i="78"/>
  <c r="G123" i="78" s="1"/>
  <c r="C122" i="78"/>
  <c r="G122" i="78" s="1"/>
  <c r="C121" i="78"/>
  <c r="G121" i="78" s="1"/>
  <c r="C119" i="78"/>
  <c r="C118" i="78"/>
  <c r="G118" i="78" s="1"/>
  <c r="C117" i="78"/>
  <c r="C116" i="78"/>
  <c r="G116" i="78" s="1"/>
  <c r="C114" i="78"/>
  <c r="C113" i="78"/>
  <c r="G113" i="78" s="1"/>
  <c r="C112" i="78"/>
  <c r="C111" i="78"/>
  <c r="G111" i="78" s="1"/>
  <c r="C110" i="78"/>
  <c r="C109" i="78"/>
  <c r="C108" i="78"/>
  <c r="G108" i="78" s="1"/>
  <c r="C107" i="78"/>
  <c r="C106" i="78"/>
  <c r="G106" i="78" s="1"/>
  <c r="C102" i="78"/>
  <c r="C101" i="78"/>
  <c r="C96" i="78"/>
  <c r="C86" i="78"/>
  <c r="C82" i="78"/>
  <c r="C79" i="78"/>
  <c r="C73" i="78"/>
  <c r="C66" i="78"/>
  <c r="C63" i="78"/>
  <c r="C59" i="78"/>
  <c r="D243" i="78"/>
  <c r="D242" i="78"/>
  <c r="D235" i="78"/>
  <c r="D234" i="78"/>
  <c r="D42" i="78"/>
  <c r="D39" i="78"/>
  <c r="D37" i="78"/>
  <c r="D38" i="78"/>
  <c r="D34" i="78"/>
  <c r="D31" i="78"/>
  <c r="D29" i="78"/>
  <c r="D30" i="78"/>
  <c r="D15" i="78"/>
  <c r="D11" i="78"/>
  <c r="D14" i="78"/>
  <c r="D6" i="78"/>
  <c r="I67" i="16"/>
  <c r="I62" i="16"/>
  <c r="AC61" i="16"/>
  <c r="I61" i="16"/>
  <c r="I58" i="16"/>
  <c r="I56" i="16"/>
  <c r="I53" i="16"/>
  <c r="AE50" i="16"/>
  <c r="AC50" i="16"/>
  <c r="I50" i="16"/>
  <c r="AE48" i="16"/>
  <c r="AD48" i="16"/>
  <c r="I48" i="16"/>
  <c r="AE47" i="16"/>
  <c r="AD47" i="16"/>
  <c r="AC47" i="16"/>
  <c r="I47" i="16"/>
  <c r="AE46" i="16"/>
  <c r="AD46" i="16"/>
  <c r="I44" i="16"/>
  <c r="AE38" i="16"/>
  <c r="AD38" i="16"/>
  <c r="AC56" i="16" s="1"/>
  <c r="I32" i="16"/>
  <c r="I31" i="16"/>
  <c r="I27" i="16"/>
  <c r="AE25" i="16"/>
  <c r="AD24" i="16"/>
  <c r="AC48" i="16" s="1"/>
  <c r="AB21" i="16"/>
  <c r="AE6" i="16"/>
  <c r="AD6" i="16"/>
  <c r="AE2" i="16"/>
  <c r="AE49" i="16"/>
  <c r="B35" i="8"/>
  <c r="B31" i="8"/>
  <c r="AB21" i="8"/>
  <c r="AC5" i="8"/>
  <c r="B37" i="7"/>
  <c r="B94" i="6"/>
  <c r="B93" i="6"/>
  <c r="B92" i="6"/>
  <c r="B91" i="6"/>
  <c r="B90" i="6"/>
  <c r="B89" i="6"/>
  <c r="B88" i="6"/>
  <c r="B87" i="6"/>
  <c r="B86" i="6"/>
  <c r="B85" i="6"/>
  <c r="B84" i="6"/>
  <c r="B83" i="6"/>
  <c r="B82" i="6"/>
  <c r="B81" i="6"/>
  <c r="B80"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AF45" i="6"/>
  <c r="AF44" i="6"/>
  <c r="B44" i="6"/>
  <c r="B43" i="6"/>
  <c r="AF42" i="6"/>
  <c r="B42" i="6"/>
  <c r="AF41" i="6"/>
  <c r="B41" i="6"/>
  <c r="AF40" i="6"/>
  <c r="B40" i="6"/>
  <c r="B37" i="6"/>
  <c r="AF36" i="6"/>
  <c r="B36" i="6"/>
  <c r="AF35" i="6"/>
  <c r="B35" i="6"/>
  <c r="B33" i="6"/>
  <c r="B32" i="6"/>
  <c r="B31" i="6"/>
  <c r="AF30" i="6"/>
  <c r="B30" i="6"/>
  <c r="B28" i="6"/>
  <c r="B27" i="6"/>
  <c r="B26" i="6"/>
  <c r="B25" i="6"/>
  <c r="B24" i="6"/>
  <c r="B23" i="6"/>
  <c r="B20" i="6"/>
  <c r="AG2" i="6"/>
  <c r="AA2" i="6"/>
  <c r="AC58" i="5"/>
  <c r="AC47" i="5"/>
  <c r="B47" i="5"/>
  <c r="B43" i="5"/>
  <c r="B42" i="5"/>
  <c r="B41" i="5"/>
  <c r="B40" i="5"/>
  <c r="AA2" i="5"/>
  <c r="J27" i="4"/>
  <c r="J26" i="4"/>
  <c r="J25" i="4"/>
  <c r="J24" i="4"/>
  <c r="J23" i="4"/>
  <c r="J20" i="4"/>
  <c r="J19" i="4"/>
  <c r="J18" i="4"/>
  <c r="J17" i="4"/>
  <c r="J14" i="4"/>
  <c r="J13" i="4"/>
  <c r="J12" i="4"/>
  <c r="J9" i="4"/>
  <c r="AI30" i="2"/>
  <c r="AC30" i="2"/>
  <c r="AJ29" i="2"/>
  <c r="AH29" i="2"/>
  <c r="AC29" i="2"/>
  <c r="AF28" i="2"/>
  <c r="AC28" i="2"/>
  <c r="AC27" i="2"/>
  <c r="AM26" i="2"/>
  <c r="AG26" i="2"/>
  <c r="AC26" i="2"/>
  <c r="AE25" i="2"/>
  <c r="AC25" i="2"/>
  <c r="AD24" i="2"/>
  <c r="AC24" i="2" s="1"/>
  <c r="AD23" i="2"/>
  <c r="AC23" i="2"/>
  <c r="B2" i="1"/>
  <c r="AM143" i="29" l="1"/>
  <c r="AH28" i="29" s="1"/>
  <c r="AL147" i="30"/>
  <c r="AG517" i="30"/>
  <c r="AJ164" i="31"/>
  <c r="AM164" i="31" s="1"/>
  <c r="AL163" i="31"/>
  <c r="BP31" i="67"/>
  <c r="AM61" i="28"/>
  <c r="AI164" i="29"/>
  <c r="AO143" i="29"/>
  <c r="AM144" i="30"/>
  <c r="AL145" i="30"/>
  <c r="AL163" i="30"/>
  <c r="AI517" i="30"/>
  <c r="AG530" i="30"/>
  <c r="AG529" i="30" s="1"/>
  <c r="AI169" i="31"/>
  <c r="AI171" i="31"/>
  <c r="AL179" i="31"/>
  <c r="AI365" i="31"/>
  <c r="AI364" i="31" s="1"/>
  <c r="AL608" i="31"/>
  <c r="AL610" i="31"/>
  <c r="AK45" i="66"/>
  <c r="AU143" i="29"/>
  <c r="AL150" i="30"/>
  <c r="AL167" i="30"/>
  <c r="AJ169" i="31"/>
  <c r="AL149" i="31"/>
  <c r="AL151" i="31"/>
  <c r="AL152" i="31"/>
  <c r="AL159" i="31"/>
  <c r="AM180" i="31"/>
  <c r="AL180" i="31"/>
  <c r="AE35" i="28"/>
  <c r="AE57" i="29"/>
  <c r="AP143" i="29"/>
  <c r="AL141" i="30"/>
  <c r="AM142" i="30"/>
  <c r="AL154" i="30"/>
  <c r="AL159" i="30"/>
  <c r="AL160" i="30"/>
  <c r="AI173" i="30"/>
  <c r="AL140" i="31"/>
  <c r="AK190" i="31"/>
  <c r="AL146" i="31"/>
  <c r="AL162" i="31"/>
  <c r="AJ171" i="31"/>
  <c r="AI192" i="31"/>
  <c r="N45" i="44"/>
  <c r="O45" i="44" s="1"/>
  <c r="M55" i="44"/>
  <c r="N71" i="44"/>
  <c r="O71" i="44" s="1"/>
  <c r="AF28" i="66"/>
  <c r="AF54" i="66" s="1"/>
  <c r="AI54" i="66" s="1"/>
  <c r="AE47" i="66"/>
  <c r="AH47" i="66" s="1"/>
  <c r="AI35" i="28"/>
  <c r="AE66" i="29"/>
  <c r="AI178" i="29"/>
  <c r="AL155" i="30"/>
  <c r="AI166" i="30"/>
  <c r="AI172" i="30" s="1"/>
  <c r="AL768" i="30"/>
  <c r="AL139" i="31"/>
  <c r="AL141" i="31"/>
  <c r="AI190" i="31" s="1"/>
  <c r="AB190" i="31" s="1"/>
  <c r="AL158" i="31"/>
  <c r="AL161" i="31"/>
  <c r="AM162" i="31"/>
  <c r="AG360" i="31"/>
  <c r="AK43" i="66"/>
  <c r="CW41" i="68"/>
  <c r="AL28" i="67"/>
  <c r="AH39" i="28"/>
  <c r="AH106" i="28"/>
  <c r="AL82" i="29"/>
  <c r="AE143" i="29"/>
  <c r="AW123" i="29"/>
  <c r="AL144" i="30"/>
  <c r="AL151" i="30"/>
  <c r="AM152" i="30"/>
  <c r="AJ166" i="30"/>
  <c r="AM168" i="30"/>
  <c r="AL187" i="30"/>
  <c r="AK195" i="30" s="1"/>
  <c r="AI172" i="31"/>
  <c r="AM166" i="31"/>
  <c r="AI357" i="31"/>
  <c r="AI360" i="31"/>
  <c r="AG370" i="31"/>
  <c r="AG369" i="31" s="1"/>
  <c r="AL612" i="31"/>
  <c r="AE60" i="66"/>
  <c r="AH60" i="66" s="1"/>
  <c r="CW34" i="68"/>
  <c r="G107" i="78"/>
  <c r="G146" i="78"/>
  <c r="G151" i="78"/>
  <c r="G157" i="78"/>
  <c r="G163" i="78"/>
  <c r="G366" i="78"/>
  <c r="G381" i="78"/>
  <c r="G397" i="78"/>
  <c r="AI43" i="28"/>
  <c r="AH61" i="28"/>
  <c r="AM77" i="28"/>
  <c r="AM78" i="29"/>
  <c r="AN127" i="29"/>
  <c r="AF143" i="29"/>
  <c r="AY129" i="29"/>
  <c r="AY127" i="29" s="1"/>
  <c r="AY143" i="29" s="1"/>
  <c r="AJ156" i="29" s="1"/>
  <c r="AL770" i="30"/>
  <c r="G440" i="78"/>
  <c r="N83" i="44"/>
  <c r="O83" i="44" s="1"/>
  <c r="AK49" i="66"/>
  <c r="AK48" i="66" s="1"/>
  <c r="AK51" i="66" s="1"/>
  <c r="AI35" i="66"/>
  <c r="AE45" i="66"/>
  <c r="AH45" i="66" s="1"/>
  <c r="AE50" i="66"/>
  <c r="AH50" i="66" s="1"/>
  <c r="AM48" i="66"/>
  <c r="AM51" i="66" s="1"/>
  <c r="AM56" i="66" s="1"/>
  <c r="AL60" i="66"/>
  <c r="AZ56" i="67"/>
  <c r="CV34" i="68"/>
  <c r="AF156" i="29"/>
  <c r="G112" i="78"/>
  <c r="G117" i="78"/>
  <c r="G355" i="78"/>
  <c r="G411" i="78"/>
  <c r="G416" i="78"/>
  <c r="G421" i="78"/>
  <c r="AM39" i="28"/>
  <c r="AM75" i="28"/>
  <c r="AJ80" i="29"/>
  <c r="AH66" i="29"/>
  <c r="AM82" i="29"/>
  <c r="AL86" i="29"/>
  <c r="AM93" i="29"/>
  <c r="AH143" i="29"/>
  <c r="AG28" i="29" s="1"/>
  <c r="AI520" i="30"/>
  <c r="AI516" i="30" s="1"/>
  <c r="AG525" i="30"/>
  <c r="AG524" i="30" s="1"/>
  <c r="AG523" i="30" s="1"/>
  <c r="AL767" i="30"/>
  <c r="AG365" i="31"/>
  <c r="AG364" i="31" s="1"/>
  <c r="AL607" i="31"/>
  <c r="AE49" i="66"/>
  <c r="AH49" i="66" s="1"/>
  <c r="AH48" i="66" s="1"/>
  <c r="AI50" i="66"/>
  <c r="AE52" i="66"/>
  <c r="AH52" i="66" s="1"/>
  <c r="AN48" i="67"/>
  <c r="AQ129" i="29"/>
  <c r="AQ127" i="29" s="1"/>
  <c r="G328" i="78"/>
  <c r="G335" i="78"/>
  <c r="G346" i="78"/>
  <c r="G351" i="78"/>
  <c r="G407" i="78"/>
  <c r="G430" i="78"/>
  <c r="AH54" i="28"/>
  <c r="AH65" i="28"/>
  <c r="AL75" i="28"/>
  <c r="AH77" i="28"/>
  <c r="AH32" i="29"/>
  <c r="AH35" i="29" s="1"/>
  <c r="AX129" i="29"/>
  <c r="AW129" i="29"/>
  <c r="AG520" i="30"/>
  <c r="AI530" i="30"/>
  <c r="AI529" i="30" s="1"/>
  <c r="AI523" i="30" s="1"/>
  <c r="AG357" i="31"/>
  <c r="AG356" i="31" s="1"/>
  <c r="AG355" i="31" s="1"/>
  <c r="AI370" i="31"/>
  <c r="AI369" i="31" s="1"/>
  <c r="AI363" i="31" s="1"/>
  <c r="M79" i="44"/>
  <c r="AF29" i="66"/>
  <c r="AK52" i="66"/>
  <c r="AU37" i="67"/>
  <c r="BP37" i="67"/>
  <c r="BP49" i="67"/>
  <c r="CW33" i="68"/>
  <c r="AM61" i="66"/>
  <c r="AL57" i="66"/>
  <c r="G148" i="78"/>
  <c r="G153" i="78"/>
  <c r="G161" i="78"/>
  <c r="G265" i="78"/>
  <c r="G361" i="78"/>
  <c r="G371" i="78"/>
  <c r="G383" i="78"/>
  <c r="G395" i="78"/>
  <c r="G401" i="78"/>
  <c r="AL109" i="28"/>
  <c r="AE60" i="29"/>
  <c r="AI175" i="29"/>
  <c r="AN82" i="29"/>
  <c r="AR123" i="29"/>
  <c r="AV129" i="29"/>
  <c r="AS131" i="29"/>
  <c r="N44" i="44"/>
  <c r="O44" i="44" s="1"/>
  <c r="M63" i="44"/>
  <c r="M66" i="44"/>
  <c r="AI33" i="66"/>
  <c r="AL43" i="66"/>
  <c r="AG48" i="66"/>
  <c r="AE48" i="66" s="1"/>
  <c r="AE54" i="66"/>
  <c r="AH54" i="66" s="1"/>
  <c r="AE68" i="66"/>
  <c r="AN29" i="67"/>
  <c r="AO33" i="67"/>
  <c r="CG46" i="67"/>
  <c r="AO47" i="67"/>
  <c r="AO51" i="67"/>
  <c r="AV56" i="67"/>
  <c r="BD56" i="67"/>
  <c r="CW32" i="68"/>
  <c r="CV32" i="68"/>
  <c r="CV41" i="68"/>
  <c r="G110" i="78"/>
  <c r="G114" i="78"/>
  <c r="G119" i="78"/>
  <c r="G330" i="78"/>
  <c r="G357" i="78"/>
  <c r="G413" i="78"/>
  <c r="G418" i="78"/>
  <c r="AE33" i="28"/>
  <c r="AH60" i="29"/>
  <c r="AG99" i="29"/>
  <c r="AL143" i="29"/>
  <c r="AT143" i="29"/>
  <c r="AD156" i="29" s="1"/>
  <c r="AL59" i="66"/>
  <c r="AE42" i="66"/>
  <c r="AH42" i="66" s="1"/>
  <c r="AE43" i="66"/>
  <c r="AH43" i="66" s="1"/>
  <c r="AE44" i="66"/>
  <c r="AH44" i="66" s="1"/>
  <c r="AL45" i="66"/>
  <c r="AK47" i="66"/>
  <c r="AL54" i="66"/>
  <c r="AE59" i="66"/>
  <c r="AH59" i="66" s="1"/>
  <c r="AN31" i="67"/>
  <c r="AN34" i="67"/>
  <c r="AN49" i="67"/>
  <c r="G326" i="78"/>
  <c r="G337" i="78"/>
  <c r="G348" i="78"/>
  <c r="G353" i="78"/>
  <c r="G405" i="78"/>
  <c r="G426" i="78"/>
  <c r="G432" i="78"/>
  <c r="AH28" i="28"/>
  <c r="AE40" i="28"/>
  <c r="AE43" i="28"/>
  <c r="AH62" i="28"/>
  <c r="AM108" i="28"/>
  <c r="AE85" i="29"/>
  <c r="AF167" i="29" s="1"/>
  <c r="AH85" i="29"/>
  <c r="AJ143" i="29"/>
  <c r="AZ143" i="29"/>
  <c r="AR129" i="29"/>
  <c r="AL772" i="30"/>
  <c r="M65" i="44"/>
  <c r="M81" i="44"/>
  <c r="AM29" i="66"/>
  <c r="AE46" i="66"/>
  <c r="AH46" i="66" s="1"/>
  <c r="AL47" i="66"/>
  <c r="AL49" i="66"/>
  <c r="AL48" i="66" s="1"/>
  <c r="AO30" i="67"/>
  <c r="AU31" i="67"/>
  <c r="AU49" i="67"/>
  <c r="AN52" i="67"/>
  <c r="AI53" i="67"/>
  <c r="AI35" i="67"/>
  <c r="AF256" i="31"/>
  <c r="AF253" i="30"/>
  <c r="AJ50" i="67"/>
  <c r="AJ32" i="67"/>
  <c r="AG254" i="31"/>
  <c r="AG251" i="30"/>
  <c r="AJ37" i="67"/>
  <c r="AJ55" i="67"/>
  <c r="AG257" i="31"/>
  <c r="AG254" i="30"/>
  <c r="AK49" i="67"/>
  <c r="AK31" i="67"/>
  <c r="AH253" i="31"/>
  <c r="AH250" i="30"/>
  <c r="AI50" i="67"/>
  <c r="AI32" i="67"/>
  <c r="AF254" i="31"/>
  <c r="AF251" i="30"/>
  <c r="AI56" i="67"/>
  <c r="AI57" i="67" s="1"/>
  <c r="AI58" i="67" s="1"/>
  <c r="AI59" i="67" s="1"/>
  <c r="AI60" i="67" s="1"/>
  <c r="AI38" i="67"/>
  <c r="AI39" i="67" s="1"/>
  <c r="AI40" i="67" s="1"/>
  <c r="AI41" i="67" s="1"/>
  <c r="AI42" i="67" s="1"/>
  <c r="AF258" i="31"/>
  <c r="AF255" i="30"/>
  <c r="AI49" i="67"/>
  <c r="AI31" i="67"/>
  <c r="AF253" i="31"/>
  <c r="AF250" i="30"/>
  <c r="AJ52" i="67"/>
  <c r="AJ34" i="67"/>
  <c r="AG255" i="31"/>
  <c r="AG252" i="30"/>
  <c r="AK50" i="67"/>
  <c r="AK32" i="67"/>
  <c r="AH254" i="31"/>
  <c r="AH251" i="30"/>
  <c r="AK54" i="67"/>
  <c r="AK36" i="67"/>
  <c r="C228" i="78"/>
  <c r="C7" i="78"/>
  <c r="C225" i="78"/>
  <c r="C5" i="78"/>
  <c r="AE34" i="16"/>
  <c r="AI37" i="67"/>
  <c r="AI55" i="67"/>
  <c r="AF257" i="31"/>
  <c r="AF254" i="30"/>
  <c r="AJ53" i="67"/>
  <c r="AJ35" i="67"/>
  <c r="AG256" i="31"/>
  <c r="AG253" i="30"/>
  <c r="AK52" i="67"/>
  <c r="AK34" i="67"/>
  <c r="AH255" i="31"/>
  <c r="AH252" i="30"/>
  <c r="AK55" i="67"/>
  <c r="AK37" i="67"/>
  <c r="AH257" i="31"/>
  <c r="AH254" i="30"/>
  <c r="AJ269" i="31"/>
  <c r="AJ237" i="30"/>
  <c r="AI52" i="67"/>
  <c r="AI34" i="67"/>
  <c r="AF255" i="31"/>
  <c r="AF252" i="30"/>
  <c r="AJ49" i="67"/>
  <c r="AJ31" i="67"/>
  <c r="AG250" i="30"/>
  <c r="AG253" i="31"/>
  <c r="AK35" i="67"/>
  <c r="AK53" i="67"/>
  <c r="AH256" i="31"/>
  <c r="AH253" i="30"/>
  <c r="AK97" i="28"/>
  <c r="AJ97" i="28"/>
  <c r="B38" i="6"/>
  <c r="B50" i="78"/>
  <c r="B47" i="78"/>
  <c r="B43" i="78"/>
  <c r="B39" i="78"/>
  <c r="B35" i="78"/>
  <c r="B31" i="78"/>
  <c r="B27" i="78"/>
  <c r="B23" i="78"/>
  <c r="B48" i="78"/>
  <c r="B44" i="78"/>
  <c r="B40" i="78"/>
  <c r="B36" i="78"/>
  <c r="B32" i="78"/>
  <c r="B28" i="78"/>
  <c r="B24" i="78"/>
  <c r="B20" i="78"/>
  <c r="B19" i="78"/>
  <c r="B18" i="78"/>
  <c r="B17" i="78"/>
  <c r="B16" i="78"/>
  <c r="B15" i="78"/>
  <c r="B14" i="78"/>
  <c r="B13" i="78"/>
  <c r="B12" i="78"/>
  <c r="B11" i="78"/>
  <c r="B10" i="78"/>
  <c r="B9" i="78"/>
  <c r="B8" i="78"/>
  <c r="B7" i="78"/>
  <c r="B6" i="78"/>
  <c r="B5" i="78"/>
  <c r="B4" i="78"/>
  <c r="B3" i="78"/>
  <c r="B49" i="78"/>
  <c r="B45" i="78"/>
  <c r="B41" i="78"/>
  <c r="B37" i="78"/>
  <c r="B33" i="78"/>
  <c r="B29" i="78"/>
  <c r="B25" i="78"/>
  <c r="B21" i="78"/>
  <c r="B22" i="78"/>
  <c r="B42" i="78"/>
  <c r="B38" i="78"/>
  <c r="B34" i="78"/>
  <c r="B30" i="78"/>
  <c r="B26" i="78"/>
  <c r="B46" i="78"/>
  <c r="B230" i="78"/>
  <c r="B226" i="78"/>
  <c r="B222" i="78"/>
  <c r="B218" i="78"/>
  <c r="B214" i="78"/>
  <c r="B210" i="78"/>
  <c r="B206" i="78"/>
  <c r="B202" i="78"/>
  <c r="B198" i="78"/>
  <c r="B194" i="78"/>
  <c r="B190" i="78"/>
  <c r="B186" i="78"/>
  <c r="B182" i="78"/>
  <c r="B178" i="78"/>
  <c r="B174" i="78"/>
  <c r="B170" i="78"/>
  <c r="B166" i="78"/>
  <c r="B162" i="78"/>
  <c r="B152" i="78"/>
  <c r="B148" i="78"/>
  <c r="B144" i="78"/>
  <c r="B140" i="78"/>
  <c r="B136" i="78"/>
  <c r="B135" i="78"/>
  <c r="B134" i="78"/>
  <c r="B133" i="78"/>
  <c r="B132" i="78"/>
  <c r="B131" i="78"/>
  <c r="B130" i="78"/>
  <c r="B129" i="78"/>
  <c r="B128" i="78"/>
  <c r="B127" i="78"/>
  <c r="B126" i="78"/>
  <c r="B125" i="78"/>
  <c r="B124" i="78"/>
  <c r="B123" i="78"/>
  <c r="B122" i="78"/>
  <c r="B121" i="78"/>
  <c r="B120" i="78"/>
  <c r="B119" i="78"/>
  <c r="B118" i="78"/>
  <c r="B117" i="78"/>
  <c r="B116" i="78"/>
  <c r="B115" i="78"/>
  <c r="B114" i="78"/>
  <c r="B113" i="78"/>
  <c r="B112" i="78"/>
  <c r="B111" i="78"/>
  <c r="B110" i="78"/>
  <c r="B109" i="78"/>
  <c r="B108" i="78"/>
  <c r="B107" i="78"/>
  <c r="B106" i="78"/>
  <c r="B105" i="78"/>
  <c r="B104" i="78"/>
  <c r="B103" i="78"/>
  <c r="B102" i="78"/>
  <c r="B101" i="78"/>
  <c r="B100" i="78"/>
  <c r="B99" i="78"/>
  <c r="B98" i="78"/>
  <c r="B97" i="78"/>
  <c r="B96" i="78"/>
  <c r="B95" i="78"/>
  <c r="B94" i="78"/>
  <c r="B93" i="78"/>
  <c r="B92" i="78"/>
  <c r="B91" i="78"/>
  <c r="B90" i="78"/>
  <c r="B89" i="78"/>
  <c r="B88" i="78"/>
  <c r="B87" i="78"/>
  <c r="B86" i="78"/>
  <c r="B85" i="78"/>
  <c r="B84" i="78"/>
  <c r="B83" i="78"/>
  <c r="B82" i="78"/>
  <c r="B81" i="78"/>
  <c r="B80" i="78"/>
  <c r="B79" i="78"/>
  <c r="B78" i="78"/>
  <c r="B77" i="78"/>
  <c r="B229" i="78"/>
  <c r="B225" i="78"/>
  <c r="B221" i="78"/>
  <c r="B217" i="78"/>
  <c r="B213" i="78"/>
  <c r="B209" i="78"/>
  <c r="B205" i="78"/>
  <c r="B201" i="78"/>
  <c r="B197" i="78"/>
  <c r="B193" i="78"/>
  <c r="B189" i="78"/>
  <c r="B185" i="78"/>
  <c r="B181" i="78"/>
  <c r="B177" i="78"/>
  <c r="B173" i="78"/>
  <c r="B169" i="78"/>
  <c r="B165" i="78"/>
  <c r="B161" i="78"/>
  <c r="B158" i="78"/>
  <c r="B156" i="78"/>
  <c r="B153" i="78"/>
  <c r="B149" i="78"/>
  <c r="B145" i="78"/>
  <c r="B141" i="78"/>
  <c r="B137" i="78"/>
  <c r="B228" i="78"/>
  <c r="B224" i="78"/>
  <c r="B220" i="78"/>
  <c r="B216" i="78"/>
  <c r="B212" i="78"/>
  <c r="B208" i="78"/>
  <c r="B204" i="78"/>
  <c r="B200" i="78"/>
  <c r="B196" i="78"/>
  <c r="B192" i="78"/>
  <c r="B188" i="78"/>
  <c r="B184" i="78"/>
  <c r="B180" i="78"/>
  <c r="B176" i="78"/>
  <c r="B172" i="78"/>
  <c r="B168" i="78"/>
  <c r="B164" i="78"/>
  <c r="B160" i="78"/>
  <c r="B154" i="78"/>
  <c r="B150" i="78"/>
  <c r="B146" i="78"/>
  <c r="B142" i="78"/>
  <c r="B138" i="78"/>
  <c r="B219" i="78"/>
  <c r="B203" i="78"/>
  <c r="B187" i="78"/>
  <c r="B171" i="78"/>
  <c r="B157" i="78"/>
  <c r="B151" i="78"/>
  <c r="B76" i="78"/>
  <c r="B74" i="78"/>
  <c r="B72" i="78"/>
  <c r="B70" i="78"/>
  <c r="B68" i="78"/>
  <c r="B66" i="78"/>
  <c r="B64" i="78"/>
  <c r="B62" i="78"/>
  <c r="B60" i="78"/>
  <c r="B58" i="78"/>
  <c r="B56" i="78"/>
  <c r="B54" i="78"/>
  <c r="B52" i="78"/>
  <c r="B215" i="78"/>
  <c r="B199" i="78"/>
  <c r="B183" i="78"/>
  <c r="B167" i="78"/>
  <c r="B155" i="78"/>
  <c r="B139" i="78"/>
  <c r="B227" i="78"/>
  <c r="B211" i="78"/>
  <c r="B195" i="78"/>
  <c r="B179" i="78"/>
  <c r="B163" i="78"/>
  <c r="B143" i="78"/>
  <c r="B75" i="78"/>
  <c r="B73" i="78"/>
  <c r="B71" i="78"/>
  <c r="B69" i="78"/>
  <c r="B67" i="78"/>
  <c r="B65" i="78"/>
  <c r="B63" i="78"/>
  <c r="B61" i="78"/>
  <c r="B59" i="78"/>
  <c r="B57" i="78"/>
  <c r="B55" i="78"/>
  <c r="B53" i="78"/>
  <c r="B51" i="78"/>
  <c r="B223" i="78"/>
  <c r="B159" i="78"/>
  <c r="B207" i="78"/>
  <c r="B191" i="78"/>
  <c r="B147" i="78"/>
  <c r="B175" i="78"/>
  <c r="B438" i="78"/>
  <c r="B439" i="78"/>
  <c r="B435" i="78"/>
  <c r="B440" i="78"/>
  <c r="B436" i="78"/>
  <c r="B437" i="78"/>
  <c r="C212" i="78"/>
  <c r="G212" i="78" s="1"/>
  <c r="C208" i="78"/>
  <c r="G208" i="78" s="1"/>
  <c r="C192" i="78"/>
  <c r="G192" i="78" s="1"/>
  <c r="C188" i="78"/>
  <c r="G188" i="78" s="1"/>
  <c r="C172" i="78"/>
  <c r="G172" i="78" s="1"/>
  <c r="C168" i="78"/>
  <c r="G168" i="78" s="1"/>
  <c r="C223" i="78"/>
  <c r="G223" i="78" s="1"/>
  <c r="C207" i="78"/>
  <c r="G207" i="78" s="1"/>
  <c r="C203" i="78"/>
  <c r="G203" i="78" s="1"/>
  <c r="C187" i="78"/>
  <c r="G187" i="78" s="1"/>
  <c r="C179" i="78"/>
  <c r="G179" i="78" s="1"/>
  <c r="C167" i="78"/>
  <c r="G167" i="78" s="1"/>
  <c r="C222" i="78"/>
  <c r="G222" i="78" s="1"/>
  <c r="C218" i="78"/>
  <c r="G218" i="78" s="1"/>
  <c r="C202" i="78"/>
  <c r="G202" i="78" s="1"/>
  <c r="C198" i="78"/>
  <c r="G198" i="78" s="1"/>
  <c r="C194" i="78"/>
  <c r="G194" i="78" s="1"/>
  <c r="C178" i="78"/>
  <c r="G178" i="78" s="1"/>
  <c r="C174" i="78"/>
  <c r="G174" i="78" s="1"/>
  <c r="C217" i="78"/>
  <c r="G217" i="78" s="1"/>
  <c r="C213" i="78"/>
  <c r="G213" i="78" s="1"/>
  <c r="C209" i="78"/>
  <c r="C197" i="78"/>
  <c r="G197" i="78" s="1"/>
  <c r="C193" i="78"/>
  <c r="G193" i="78" s="1"/>
  <c r="C189" i="78"/>
  <c r="G189" i="78" s="1"/>
  <c r="C177" i="78"/>
  <c r="G177" i="78" s="1"/>
  <c r="C173" i="78"/>
  <c r="G173" i="78" s="1"/>
  <c r="C169" i="78"/>
  <c r="G169" i="78" s="1"/>
  <c r="B29" i="6"/>
  <c r="B39" i="6"/>
  <c r="B450" i="78"/>
  <c r="B446" i="78"/>
  <c r="B442" i="78"/>
  <c r="B451" i="78"/>
  <c r="B447" i="78"/>
  <c r="B443" i="78"/>
  <c r="B452" i="78"/>
  <c r="B448" i="78"/>
  <c r="B444" i="78"/>
  <c r="B449" i="78"/>
  <c r="B441" i="78"/>
  <c r="B445" i="78"/>
  <c r="B78" i="6"/>
  <c r="AG123" i="30"/>
  <c r="AG120" i="31"/>
  <c r="AC30" i="16"/>
  <c r="AD39" i="16"/>
  <c r="AC51" i="16"/>
  <c r="AC55" i="16"/>
  <c r="L70" i="44"/>
  <c r="L75" i="44"/>
  <c r="L84" i="44"/>
  <c r="D4" i="78"/>
  <c r="D8" i="78"/>
  <c r="D231" i="78"/>
  <c r="D237" i="78"/>
  <c r="D239" i="78"/>
  <c r="D241" i="78"/>
  <c r="D245" i="78"/>
  <c r="D253" i="78"/>
  <c r="C52" i="78"/>
  <c r="C56" i="78"/>
  <c r="G56" i="78" s="1"/>
  <c r="C60" i="78"/>
  <c r="C64" i="78"/>
  <c r="C70" i="78"/>
  <c r="C227" i="78"/>
  <c r="C4" i="78"/>
  <c r="C84" i="78"/>
  <c r="C87" i="78"/>
  <c r="C76" i="78"/>
  <c r="C29" i="78"/>
  <c r="G29" i="78" s="1"/>
  <c r="G38" i="78"/>
  <c r="AB22" i="30"/>
  <c r="AB22" i="28"/>
  <c r="AB240" i="31"/>
  <c r="AB22" i="31"/>
  <c r="AB488" i="30"/>
  <c r="AB98" i="30"/>
  <c r="AB79" i="30"/>
  <c r="AB232" i="31"/>
  <c r="AB494" i="30"/>
  <c r="B384" i="78"/>
  <c r="B380" i="78"/>
  <c r="B433" i="78"/>
  <c r="B431" i="78"/>
  <c r="B429" i="78"/>
  <c r="B427" i="78"/>
  <c r="B425" i="78"/>
  <c r="B423" i="78"/>
  <c r="B421" i="78"/>
  <c r="B419" i="78"/>
  <c r="B417" i="78"/>
  <c r="B415" i="78"/>
  <c r="B413" i="78"/>
  <c r="B411" i="78"/>
  <c r="B409" i="78"/>
  <c r="B407" i="78"/>
  <c r="B405" i="78"/>
  <c r="B403" i="78"/>
  <c r="B401" i="78"/>
  <c r="B399" i="78"/>
  <c r="B397" i="78"/>
  <c r="B395" i="78"/>
  <c r="B393" i="78"/>
  <c r="B391" i="78"/>
  <c r="B389" i="78"/>
  <c r="B387" i="78"/>
  <c r="B385" i="78"/>
  <c r="B381" i="78"/>
  <c r="B377" i="78"/>
  <c r="B376" i="78"/>
  <c r="B375" i="78"/>
  <c r="B374" i="78"/>
  <c r="B373" i="78"/>
  <c r="B372" i="78"/>
  <c r="B371" i="78"/>
  <c r="B370" i="78"/>
  <c r="B369" i="78"/>
  <c r="B368" i="78"/>
  <c r="B367" i="78"/>
  <c r="B366" i="78"/>
  <c r="B365" i="78"/>
  <c r="B382" i="78"/>
  <c r="B378" i="78"/>
  <c r="B430" i="78"/>
  <c r="B422" i="78"/>
  <c r="B414" i="78"/>
  <c r="B406" i="78"/>
  <c r="B398" i="78"/>
  <c r="B390" i="78"/>
  <c r="B383" i="78"/>
  <c r="B363" i="78"/>
  <c r="B361" i="78"/>
  <c r="B358" i="78"/>
  <c r="B354" i="78"/>
  <c r="B350" i="78"/>
  <c r="B346" i="78"/>
  <c r="B342" i="78"/>
  <c r="B338" i="78"/>
  <c r="B334" i="78"/>
  <c r="B428" i="78"/>
  <c r="B420" i="78"/>
  <c r="B412" i="78"/>
  <c r="B404" i="78"/>
  <c r="B396" i="78"/>
  <c r="B388" i="78"/>
  <c r="B359" i="78"/>
  <c r="B355" i="78"/>
  <c r="B351" i="78"/>
  <c r="B347" i="78"/>
  <c r="B343" i="78"/>
  <c r="B339" i="78"/>
  <c r="B335" i="78"/>
  <c r="B434" i="78"/>
  <c r="B426" i="78"/>
  <c r="B418" i="78"/>
  <c r="B410" i="78"/>
  <c r="B402" i="78"/>
  <c r="B394" i="78"/>
  <c r="B386" i="78"/>
  <c r="B364" i="78"/>
  <c r="B362" i="78"/>
  <c r="B360" i="78"/>
  <c r="B356" i="78"/>
  <c r="B352" i="78"/>
  <c r="B348" i="78"/>
  <c r="B344" i="78"/>
  <c r="B340" i="78"/>
  <c r="B336" i="78"/>
  <c r="B332" i="78"/>
  <c r="B331" i="78"/>
  <c r="B330" i="78"/>
  <c r="B329" i="78"/>
  <c r="B328" i="78"/>
  <c r="B327" i="78"/>
  <c r="B326" i="78"/>
  <c r="B325" i="78"/>
  <c r="B324" i="78"/>
  <c r="B323" i="78"/>
  <c r="B322" i="78"/>
  <c r="B321" i="78"/>
  <c r="B320" i="78"/>
  <c r="B319" i="78"/>
  <c r="B318" i="78"/>
  <c r="B317" i="78"/>
  <c r="B316" i="78"/>
  <c r="B315" i="78"/>
  <c r="B314" i="78"/>
  <c r="B313" i="78"/>
  <c r="B312" i="78"/>
  <c r="B311" i="78"/>
  <c r="B310" i="78"/>
  <c r="B309" i="78"/>
  <c r="B308" i="78"/>
  <c r="B307" i="78"/>
  <c r="B306" i="78"/>
  <c r="B305" i="78"/>
  <c r="B304" i="78"/>
  <c r="B303" i="78"/>
  <c r="B302" i="78"/>
  <c r="B301" i="78"/>
  <c r="B416" i="78"/>
  <c r="B353" i="78"/>
  <c r="B337" i="78"/>
  <c r="B300" i="78"/>
  <c r="B298" i="78"/>
  <c r="B296" i="78"/>
  <c r="B294" i="78"/>
  <c r="B292" i="78"/>
  <c r="B290" i="78"/>
  <c r="B288" i="78"/>
  <c r="B286" i="78"/>
  <c r="B283" i="78"/>
  <c r="B279" i="78"/>
  <c r="B275" i="78"/>
  <c r="B408" i="78"/>
  <c r="B379" i="78"/>
  <c r="B357" i="78"/>
  <c r="B341" i="78"/>
  <c r="B284" i="78"/>
  <c r="B280" i="78"/>
  <c r="B276" i="78"/>
  <c r="B432" i="78"/>
  <c r="B400" i="78"/>
  <c r="B345" i="78"/>
  <c r="B299" i="78"/>
  <c r="B297" i="78"/>
  <c r="B295" i="78"/>
  <c r="B293" i="78"/>
  <c r="B291" i="78"/>
  <c r="B289" i="78"/>
  <c r="B287" i="78"/>
  <c r="B285" i="78"/>
  <c r="B281" i="78"/>
  <c r="B277" i="78"/>
  <c r="B424" i="78"/>
  <c r="B333" i="78"/>
  <c r="B274" i="78"/>
  <c r="B270" i="78"/>
  <c r="B266" i="78"/>
  <c r="B262" i="78"/>
  <c r="B258" i="78"/>
  <c r="B254" i="78"/>
  <c r="B250" i="78"/>
  <c r="B246" i="78"/>
  <c r="B242" i="78"/>
  <c r="B238" i="78"/>
  <c r="B234" i="78"/>
  <c r="B392" i="78"/>
  <c r="B349" i="78"/>
  <c r="B278" i="78"/>
  <c r="B273" i="78"/>
  <c r="B269" i="78"/>
  <c r="B265" i="78"/>
  <c r="B261" i="78"/>
  <c r="B257" i="78"/>
  <c r="B253" i="78"/>
  <c r="B249" i="78"/>
  <c r="B245" i="78"/>
  <c r="B241" i="78"/>
  <c r="B237" i="78"/>
  <c r="B233" i="78"/>
  <c r="B282" i="78"/>
  <c r="B272" i="78"/>
  <c r="B268" i="78"/>
  <c r="B264" i="78"/>
  <c r="B260" i="78"/>
  <c r="B256" i="78"/>
  <c r="B252" i="78"/>
  <c r="B248" i="78"/>
  <c r="B244" i="78"/>
  <c r="B240" i="78"/>
  <c r="B236" i="78"/>
  <c r="B232" i="78"/>
  <c r="B267" i="78"/>
  <c r="B251" i="78"/>
  <c r="B235" i="78"/>
  <c r="B263" i="78"/>
  <c r="B247" i="78"/>
  <c r="B231" i="78"/>
  <c r="B259" i="78"/>
  <c r="B243" i="78"/>
  <c r="B271" i="78"/>
  <c r="B255" i="78"/>
  <c r="B239" i="78"/>
  <c r="B79" i="6"/>
  <c r="AJ235" i="30"/>
  <c r="AJ267" i="31"/>
  <c r="AC32" i="16"/>
  <c r="AC62" i="16"/>
  <c r="L85" i="44"/>
  <c r="D12" i="78"/>
  <c r="D16" i="78"/>
  <c r="D18" i="78"/>
  <c r="D44" i="78"/>
  <c r="D20" i="78"/>
  <c r="D24" i="78"/>
  <c r="C53" i="78"/>
  <c r="C57" i="78"/>
  <c r="C61" i="78"/>
  <c r="C65" i="78"/>
  <c r="C68" i="78"/>
  <c r="C71" i="78"/>
  <c r="C74" i="78"/>
  <c r="C78" i="78"/>
  <c r="C229" i="78"/>
  <c r="C85" i="78"/>
  <c r="C88" i="78"/>
  <c r="C89" i="78"/>
  <c r="C34" i="78"/>
  <c r="G34" i="78" s="1"/>
  <c r="C39" i="78"/>
  <c r="G39" i="78" s="1"/>
  <c r="D149" i="78"/>
  <c r="G149" i="78" s="1"/>
  <c r="B45" i="6"/>
  <c r="AG116" i="31"/>
  <c r="AB905" i="30"/>
  <c r="AB909" i="30"/>
  <c r="AB896" i="30"/>
  <c r="AB130" i="30"/>
  <c r="AB749" i="31"/>
  <c r="AB894" i="30"/>
  <c r="AG119" i="30"/>
  <c r="AB128" i="31"/>
  <c r="L78" i="44"/>
  <c r="L77" i="44"/>
  <c r="D3" i="78"/>
  <c r="D9" i="78"/>
  <c r="D46" i="78"/>
  <c r="D232" i="78"/>
  <c r="D236" i="78"/>
  <c r="D240" i="78"/>
  <c r="D244" i="78"/>
  <c r="D246" i="78"/>
  <c r="D252" i="78"/>
  <c r="D254" i="78"/>
  <c r="C54" i="78"/>
  <c r="C58" i="78"/>
  <c r="C62" i="78"/>
  <c r="C69" i="78"/>
  <c r="C72" i="78"/>
  <c r="C75" i="78"/>
  <c r="C30" i="78"/>
  <c r="G30" i="78" s="1"/>
  <c r="D338" i="78"/>
  <c r="L76" i="44"/>
  <c r="D13" i="78"/>
  <c r="D17" i="78"/>
  <c r="D49" i="78"/>
  <c r="D19" i="78"/>
  <c r="D21" i="78"/>
  <c r="D25" i="78"/>
  <c r="D248" i="78"/>
  <c r="C6" i="78"/>
  <c r="G6" i="78" s="1"/>
  <c r="C51" i="78"/>
  <c r="G51" i="78" s="1"/>
  <c r="C55" i="78"/>
  <c r="C77" i="78"/>
  <c r="C80" i="78"/>
  <c r="C83" i="78"/>
  <c r="C92" i="78"/>
  <c r="C434" i="78"/>
  <c r="G434" i="78" s="1"/>
  <c r="C235" i="78"/>
  <c r="G235" i="78" s="1"/>
  <c r="C319" i="78"/>
  <c r="D54" i="78"/>
  <c r="D58" i="78"/>
  <c r="D62" i="78"/>
  <c r="D259" i="78"/>
  <c r="G259" i="78" s="1"/>
  <c r="D263" i="78"/>
  <c r="G263" i="78" s="1"/>
  <c r="D267" i="78"/>
  <c r="G267" i="78" s="1"/>
  <c r="D71" i="78"/>
  <c r="D282" i="78"/>
  <c r="G282" i="78" s="1"/>
  <c r="D83" i="78"/>
  <c r="D86" i="78"/>
  <c r="G86" i="78" s="1"/>
  <c r="D288" i="78"/>
  <c r="G288" i="78" s="1"/>
  <c r="D292" i="78"/>
  <c r="G292" i="78" s="1"/>
  <c r="D296" i="78"/>
  <c r="G296" i="78" s="1"/>
  <c r="D97" i="78"/>
  <c r="D311" i="78"/>
  <c r="D344" i="78"/>
  <c r="AI473" i="30"/>
  <c r="AI337" i="31"/>
  <c r="C115" i="78"/>
  <c r="C31" i="78"/>
  <c r="G31" i="78" s="1"/>
  <c r="C32" i="78"/>
  <c r="G32" i="78" s="1"/>
  <c r="C289" i="78"/>
  <c r="G289" i="78" s="1"/>
  <c r="C324" i="78"/>
  <c r="G324" i="78" s="1"/>
  <c r="C384" i="78"/>
  <c r="G384" i="78" s="1"/>
  <c r="D59" i="78"/>
  <c r="G59" i="78" s="1"/>
  <c r="D63" i="78"/>
  <c r="G63" i="78" s="1"/>
  <c r="D256" i="78"/>
  <c r="G256" i="78" s="1"/>
  <c r="D264" i="78"/>
  <c r="D268" i="78"/>
  <c r="G268" i="78" s="1"/>
  <c r="D72" i="78"/>
  <c r="D75" i="78"/>
  <c r="D87" i="78"/>
  <c r="D285" i="78"/>
  <c r="G285" i="78" s="1"/>
  <c r="D293" i="78"/>
  <c r="G293" i="78" s="1"/>
  <c r="D297" i="78"/>
  <c r="G297" i="78" s="1"/>
  <c r="D102" i="78"/>
  <c r="D105" i="78"/>
  <c r="D319" i="78"/>
  <c r="D334" i="78"/>
  <c r="D349" i="78"/>
  <c r="D109" i="78"/>
  <c r="G109" i="78" s="1"/>
  <c r="D165" i="78"/>
  <c r="D379" i="78"/>
  <c r="G379" i="78" s="1"/>
  <c r="D180" i="78"/>
  <c r="C226" i="78"/>
  <c r="G226" i="78" s="1"/>
  <c r="C3" i="78"/>
  <c r="C230" i="78"/>
  <c r="C33" i="78"/>
  <c r="G33" i="78" s="1"/>
  <c r="C255" i="78"/>
  <c r="G255" i="78" s="1"/>
  <c r="C234" i="78"/>
  <c r="G234" i="78" s="1"/>
  <c r="C294" i="78"/>
  <c r="G294" i="78" s="1"/>
  <c r="C349" i="78"/>
  <c r="G349" i="78" s="1"/>
  <c r="C409" i="78"/>
  <c r="G409" i="78" s="1"/>
  <c r="D52" i="78"/>
  <c r="D60" i="78"/>
  <c r="D64" i="78"/>
  <c r="D257" i="78"/>
  <c r="G257" i="78" s="1"/>
  <c r="D261" i="78"/>
  <c r="G261" i="78" s="1"/>
  <c r="D269" i="78"/>
  <c r="G269" i="78" s="1"/>
  <c r="D73" i="78"/>
  <c r="G73" i="78" s="1"/>
  <c r="D272" i="78"/>
  <c r="G272" i="78" s="1"/>
  <c r="D78" i="78"/>
  <c r="D286" i="78"/>
  <c r="G286" i="78" s="1"/>
  <c r="D290" i="78"/>
  <c r="G290" i="78" s="1"/>
  <c r="D298" i="78"/>
  <c r="G298" i="78" s="1"/>
  <c r="D301" i="78"/>
  <c r="G301" i="78" s="1"/>
  <c r="D414" i="78"/>
  <c r="D392" i="78"/>
  <c r="G392" i="78" s="1"/>
  <c r="D422" i="78"/>
  <c r="G422" i="78" s="1"/>
  <c r="AL337" i="31"/>
  <c r="AH501" i="30"/>
  <c r="C443" i="78"/>
  <c r="AN65" i="28"/>
  <c r="AO86" i="29"/>
  <c r="G102" i="78"/>
  <c r="C14" i="78"/>
  <c r="G14" i="78" s="1"/>
  <c r="C105" i="78"/>
  <c r="AE103" i="28"/>
  <c r="C145" i="78"/>
  <c r="G260" i="78"/>
  <c r="G264" i="78"/>
  <c r="G311" i="78"/>
  <c r="G338" i="78"/>
  <c r="D53" i="78"/>
  <c r="D57" i="78"/>
  <c r="D61" i="78"/>
  <c r="D65" i="78"/>
  <c r="D258" i="78"/>
  <c r="G258" i="78" s="1"/>
  <c r="D262" i="78"/>
  <c r="G262" i="78" s="1"/>
  <c r="D266" i="78"/>
  <c r="G266" i="78" s="1"/>
  <c r="D67" i="78"/>
  <c r="D70" i="78"/>
  <c r="D277" i="78"/>
  <c r="G277" i="78" s="1"/>
  <c r="D79" i="78"/>
  <c r="G79" i="78" s="1"/>
  <c r="D82" i="78"/>
  <c r="G82" i="78" s="1"/>
  <c r="D230" i="78"/>
  <c r="D287" i="78"/>
  <c r="G287" i="78" s="1"/>
  <c r="D291" i="78"/>
  <c r="G291" i="78" s="1"/>
  <c r="D295" i="78"/>
  <c r="G295" i="78" s="1"/>
  <c r="D92" i="78"/>
  <c r="D306" i="78"/>
  <c r="G306" i="78" s="1"/>
  <c r="D115" i="78"/>
  <c r="D145" i="78"/>
  <c r="D175" i="78"/>
  <c r="D190" i="78"/>
  <c r="C442" i="78"/>
  <c r="C444" i="78"/>
  <c r="G444" i="78" s="1"/>
  <c r="AC254" i="31"/>
  <c r="AF300" i="31"/>
  <c r="AF264" i="30"/>
  <c r="AC250" i="30"/>
  <c r="AC251" i="30"/>
  <c r="AC255" i="31"/>
  <c r="AK300" i="31"/>
  <c r="AK264" i="30"/>
  <c r="AC254" i="30"/>
  <c r="AM300" i="31"/>
  <c r="AM264" i="30"/>
  <c r="AL496" i="30"/>
  <c r="AQ28" i="28"/>
  <c r="AK50" i="29"/>
  <c r="AF51" i="29"/>
  <c r="AK333" i="31"/>
  <c r="AI29" i="28"/>
  <c r="AJ497" i="30"/>
  <c r="AI51" i="29"/>
  <c r="AO29" i="28"/>
  <c r="AI499" i="30"/>
  <c r="AN31" i="28"/>
  <c r="AP31" i="28"/>
  <c r="AK499" i="30"/>
  <c r="AY53" i="67"/>
  <c r="AY35" i="67"/>
  <c r="AG47" i="28"/>
  <c r="BA133" i="29"/>
  <c r="BC133" i="29" s="1"/>
  <c r="AF70" i="29"/>
  <c r="AY54" i="67"/>
  <c r="AY36" i="67"/>
  <c r="BB133" i="29"/>
  <c r="AG70" i="29"/>
  <c r="AF47" i="28"/>
  <c r="AH47" i="28" s="1"/>
  <c r="BC53" i="67"/>
  <c r="BC35" i="67"/>
  <c r="AG51" i="28"/>
  <c r="BA137" i="29"/>
  <c r="BC137" i="29" s="1"/>
  <c r="AF74" i="29"/>
  <c r="BC54" i="67"/>
  <c r="BC36" i="67"/>
  <c r="BB137" i="29"/>
  <c r="AG74" i="29"/>
  <c r="AF51" i="28"/>
  <c r="AH51" i="28" s="1"/>
  <c r="BG52" i="67"/>
  <c r="BG34" i="67"/>
  <c r="AE53" i="28"/>
  <c r="AH53" i="28" s="1"/>
  <c r="AY141" i="29"/>
  <c r="BC141" i="29" s="1"/>
  <c r="AE78" i="29"/>
  <c r="BF49" i="67"/>
  <c r="BF31" i="67"/>
  <c r="BF50" i="67"/>
  <c r="BF32" i="67"/>
  <c r="AV140" i="29"/>
  <c r="AI458" i="30"/>
  <c r="BH49" i="67"/>
  <c r="BH31" i="67"/>
  <c r="BH50" i="67"/>
  <c r="BH32" i="67"/>
  <c r="AV142" i="29"/>
  <c r="AX142" i="29" s="1"/>
  <c r="AI475" i="30"/>
  <c r="AK475" i="30" s="1"/>
  <c r="AB349" i="31"/>
  <c r="AB509" i="30"/>
  <c r="AI60" i="28"/>
  <c r="AH81" i="29"/>
  <c r="BN52" i="67"/>
  <c r="BN34" i="67"/>
  <c r="AE83" i="29"/>
  <c r="AF165" i="29" s="1"/>
  <c r="AE63" i="28"/>
  <c r="BN35" i="67"/>
  <c r="BN53" i="67"/>
  <c r="AJ762" i="30"/>
  <c r="AJ602" i="31"/>
  <c r="AG63" i="28"/>
  <c r="AF83" i="29"/>
  <c r="AG165" i="29" s="1"/>
  <c r="BN54" i="67"/>
  <c r="BN36" i="67"/>
  <c r="AK602" i="31"/>
  <c r="AB392" i="31"/>
  <c r="AB552" i="30"/>
  <c r="AG390" i="31"/>
  <c r="AG550" i="30"/>
  <c r="AG83" i="29"/>
  <c r="AH165" i="29" s="1"/>
  <c r="AF63" i="28"/>
  <c r="AK762" i="30"/>
  <c r="AB549" i="30"/>
  <c r="AB389" i="31"/>
  <c r="BY49" i="67"/>
  <c r="BU49" i="67" s="1"/>
  <c r="BY31" i="67"/>
  <c r="BY50" i="67"/>
  <c r="BY32" i="67"/>
  <c r="AI763" i="30"/>
  <c r="AI603" i="31"/>
  <c r="AB413" i="31"/>
  <c r="AB573" i="30"/>
  <c r="CD54" i="67"/>
  <c r="CD36" i="67"/>
  <c r="AB443" i="31"/>
  <c r="AB603" i="30"/>
  <c r="AG95" i="29"/>
  <c r="AH177" i="29" s="1"/>
  <c r="AF84" i="28"/>
  <c r="AK84" i="28"/>
  <c r="AB440" i="31"/>
  <c r="AK95" i="29"/>
  <c r="AB600" i="30"/>
  <c r="CA38" i="67"/>
  <c r="AO77" i="28"/>
  <c r="AP93" i="29"/>
  <c r="CI57" i="67"/>
  <c r="CI39" i="67"/>
  <c r="CI59" i="67"/>
  <c r="CI41" i="67"/>
  <c r="AD237" i="31"/>
  <c r="AD233" i="31"/>
  <c r="AD234" i="31"/>
  <c r="AD235" i="31"/>
  <c r="AG300" i="31"/>
  <c r="AG264" i="30"/>
  <c r="AH495" i="30"/>
  <c r="AI495" i="30" s="1"/>
  <c r="AJ495" i="30" s="1"/>
  <c r="AK495" i="30" s="1"/>
  <c r="AL495" i="30" s="1"/>
  <c r="AL300" i="31"/>
  <c r="AH50" i="29"/>
  <c r="AI496" i="30"/>
  <c r="AN28" i="28"/>
  <c r="AB490" i="30"/>
  <c r="AK29" i="28"/>
  <c r="AL333" i="31"/>
  <c r="AH497" i="30"/>
  <c r="AG51" i="29"/>
  <c r="AK497" i="30"/>
  <c r="AJ51" i="29"/>
  <c r="AP29" i="28"/>
  <c r="AL36" i="67"/>
  <c r="AN36" i="67" s="1"/>
  <c r="AL54" i="67"/>
  <c r="AJ335" i="31"/>
  <c r="AF31" i="28"/>
  <c r="AH31" i="28" s="1"/>
  <c r="AH499" i="30"/>
  <c r="AL335" i="31"/>
  <c r="AK31" i="28"/>
  <c r="AI501" i="30"/>
  <c r="AQ53" i="67"/>
  <c r="AQ35" i="67"/>
  <c r="AF62" i="29"/>
  <c r="BA125" i="29"/>
  <c r="BC125" i="29" s="1"/>
  <c r="AG37" i="28"/>
  <c r="AX53" i="67"/>
  <c r="AX35" i="67"/>
  <c r="BA132" i="29"/>
  <c r="BC132" i="29" s="1"/>
  <c r="AG46" i="28"/>
  <c r="AF69" i="29"/>
  <c r="AX54" i="67"/>
  <c r="AX36" i="67"/>
  <c r="BB132" i="29"/>
  <c r="AG69" i="29"/>
  <c r="AF46" i="28"/>
  <c r="AH46" i="28" s="1"/>
  <c r="AJ48" i="28"/>
  <c r="AI71" i="29"/>
  <c r="AH378" i="30"/>
  <c r="AJ378" i="30" s="1"/>
  <c r="BB53" i="67"/>
  <c r="BB35" i="67"/>
  <c r="BA136" i="29"/>
  <c r="BC136" i="29" s="1"/>
  <c r="AG50" i="28"/>
  <c r="AF73" i="29"/>
  <c r="BF47" i="67"/>
  <c r="AS47" i="67" s="1"/>
  <c r="BI47" i="67" s="1"/>
  <c r="BF29" i="67"/>
  <c r="AS29" i="67" s="1"/>
  <c r="BI29" i="67" s="1"/>
  <c r="AQ140" i="29"/>
  <c r="AS140" i="29" s="1"/>
  <c r="BF51" i="67"/>
  <c r="BF33" i="67"/>
  <c r="AW140" i="29"/>
  <c r="AW127" i="29" s="1"/>
  <c r="BH29" i="67"/>
  <c r="BH47" i="67"/>
  <c r="AQ142" i="29"/>
  <c r="AS142" i="29" s="1"/>
  <c r="BH51" i="67"/>
  <c r="BH33" i="67"/>
  <c r="AW142" i="29"/>
  <c r="AI474" i="30"/>
  <c r="AK474" i="30" s="1"/>
  <c r="AI760" i="30"/>
  <c r="AI600" i="31"/>
  <c r="AJ761" i="30"/>
  <c r="AJ601" i="31"/>
  <c r="AK601" i="31"/>
  <c r="AK761" i="30"/>
  <c r="BN30" i="67"/>
  <c r="BN48" i="67"/>
  <c r="BN55" i="67"/>
  <c r="BN56" i="67" s="1"/>
  <c r="BN37" i="67"/>
  <c r="AH83" i="29"/>
  <c r="AI63" i="28"/>
  <c r="BY29" i="67"/>
  <c r="BU29" i="67" s="1"/>
  <c r="BY47" i="67"/>
  <c r="BY51" i="67"/>
  <c r="BY33" i="67"/>
  <c r="AI764" i="30"/>
  <c r="AL764" i="30" s="1"/>
  <c r="AI604" i="31"/>
  <c r="AL604" i="31" s="1"/>
  <c r="BR54" i="67"/>
  <c r="BR36" i="67"/>
  <c r="AG87" i="29"/>
  <c r="AH169" i="29" s="1"/>
  <c r="AI169" i="29" s="1"/>
  <c r="AF66" i="28"/>
  <c r="BS35" i="67"/>
  <c r="BS53" i="67"/>
  <c r="AF88" i="29"/>
  <c r="AG170" i="29" s="1"/>
  <c r="AG72" i="28"/>
  <c r="BT49" i="67"/>
  <c r="BT31" i="67"/>
  <c r="BT52" i="67"/>
  <c r="BT34" i="67"/>
  <c r="AE89" i="29"/>
  <c r="AE73" i="28"/>
  <c r="CI51" i="67"/>
  <c r="CI33" i="67"/>
  <c r="AE104" i="28"/>
  <c r="AC256" i="31"/>
  <c r="AJ300" i="31"/>
  <c r="AJ264" i="30"/>
  <c r="AI300" i="31"/>
  <c r="AC252" i="30"/>
  <c r="AI264" i="30"/>
  <c r="AH300" i="31"/>
  <c r="AH264" i="30"/>
  <c r="AI28" i="28"/>
  <c r="AK331" i="31"/>
  <c r="AF50" i="29"/>
  <c r="AI50" i="29"/>
  <c r="AJ496" i="30"/>
  <c r="AO28" i="28"/>
  <c r="AL497" i="30"/>
  <c r="AK51" i="29"/>
  <c r="AQ29" i="28"/>
  <c r="AL51" i="67"/>
  <c r="AN51" i="67" s="1"/>
  <c r="AL33" i="67"/>
  <c r="AI335" i="31"/>
  <c r="AL55" i="67"/>
  <c r="AN55" i="67" s="1"/>
  <c r="AL37" i="67"/>
  <c r="AN37" i="67" s="1"/>
  <c r="AO31" i="28"/>
  <c r="AJ499" i="30"/>
  <c r="AL499" i="30"/>
  <c r="AQ31" i="28"/>
  <c r="AP36" i="67"/>
  <c r="AP54" i="67"/>
  <c r="AG61" i="29"/>
  <c r="AF36" i="28"/>
  <c r="BB124" i="29"/>
  <c r="AW35" i="67"/>
  <c r="AW53" i="67"/>
  <c r="BA131" i="29"/>
  <c r="BC131" i="29" s="1"/>
  <c r="AG45" i="28"/>
  <c r="AF68" i="29"/>
  <c r="AW54" i="67"/>
  <c r="AW36" i="67"/>
  <c r="BB131" i="29"/>
  <c r="AG68" i="29"/>
  <c r="AF45" i="28"/>
  <c r="AH45" i="28" s="1"/>
  <c r="BA53" i="67"/>
  <c r="BA35" i="67"/>
  <c r="BA135" i="29"/>
  <c r="BC135" i="29" s="1"/>
  <c r="AF72" i="29"/>
  <c r="AG49" i="28"/>
  <c r="BA54" i="67"/>
  <c r="BA36" i="67"/>
  <c r="BB135" i="29"/>
  <c r="AG72" i="29"/>
  <c r="AF49" i="28"/>
  <c r="AH49" i="28" s="1"/>
  <c r="BE53" i="67"/>
  <c r="BE35" i="67"/>
  <c r="AG55" i="28"/>
  <c r="BA139" i="29"/>
  <c r="BC139" i="29" s="1"/>
  <c r="AF76" i="29"/>
  <c r="BE54" i="67"/>
  <c r="BE36" i="67"/>
  <c r="BB139" i="29"/>
  <c r="AF55" i="28"/>
  <c r="AH55" i="28" s="1"/>
  <c r="AG76" i="29"/>
  <c r="BG37" i="67"/>
  <c r="BG55" i="67"/>
  <c r="BG56" i="67" s="1"/>
  <c r="BF52" i="67"/>
  <c r="BF34" i="67"/>
  <c r="AS34" i="67" s="1"/>
  <c r="BI34" i="67" s="1"/>
  <c r="AE56" i="28"/>
  <c r="AE77" i="29"/>
  <c r="AY140" i="29"/>
  <c r="BF36" i="67"/>
  <c r="BF54" i="67"/>
  <c r="BB140" i="29"/>
  <c r="AF56" i="28"/>
  <c r="AG77" i="29"/>
  <c r="BH52" i="67"/>
  <c r="BH34" i="67"/>
  <c r="AE57" i="28"/>
  <c r="AE79" i="29"/>
  <c r="AY142" i="29"/>
  <c r="BH53" i="67"/>
  <c r="BH35" i="67"/>
  <c r="AF79" i="29"/>
  <c r="BA142" i="29"/>
  <c r="BC142" i="29" s="1"/>
  <c r="AG57" i="28"/>
  <c r="BH54" i="67"/>
  <c r="BH36" i="67"/>
  <c r="BB142" i="29"/>
  <c r="AG79" i="29"/>
  <c r="AF57" i="28"/>
  <c r="AH57" i="28" s="1"/>
  <c r="BN31" i="67"/>
  <c r="BN49" i="67"/>
  <c r="BN50" i="67"/>
  <c r="BN32" i="67"/>
  <c r="AI762" i="30"/>
  <c r="AI602" i="31"/>
  <c r="BO35" i="67"/>
  <c r="BO53" i="67"/>
  <c r="AF84" i="29"/>
  <c r="AG166" i="29" s="1"/>
  <c r="BO54" i="67"/>
  <c r="BO36" i="67"/>
  <c r="AG388" i="31"/>
  <c r="AG548" i="30"/>
  <c r="AB387" i="31"/>
  <c r="AB547" i="30"/>
  <c r="AG84" i="29"/>
  <c r="AH166" i="29" s="1"/>
  <c r="AI166" i="29" s="1"/>
  <c r="AE90" i="29"/>
  <c r="AF172" i="29" s="1"/>
  <c r="AJ763" i="30"/>
  <c r="AJ603" i="31"/>
  <c r="AK603" i="31"/>
  <c r="AB395" i="31"/>
  <c r="AB555" i="30"/>
  <c r="AK763" i="30"/>
  <c r="AI765" i="30"/>
  <c r="AI605" i="31"/>
  <c r="AN76" i="28"/>
  <c r="AO91" i="29"/>
  <c r="CI58" i="67"/>
  <c r="CI40" i="67"/>
  <c r="CI60" i="67"/>
  <c r="CI42" i="67"/>
  <c r="AF95" i="28"/>
  <c r="AH95" i="28" s="1"/>
  <c r="AH748" i="30"/>
  <c r="AH746" i="30" s="1"/>
  <c r="AH740" i="30" s="1"/>
  <c r="AH587" i="31"/>
  <c r="AH585" i="31" s="1"/>
  <c r="AH579" i="31" s="1"/>
  <c r="AC257" i="31"/>
  <c r="AC255" i="30"/>
  <c r="AL264" i="30"/>
  <c r="AL331" i="31"/>
  <c r="AH496" i="30"/>
  <c r="AB492" i="30"/>
  <c r="AG50" i="29"/>
  <c r="AK28" i="28"/>
  <c r="AB238" i="31"/>
  <c r="AK496" i="30"/>
  <c r="AP28" i="28"/>
  <c r="AJ50" i="29"/>
  <c r="AI497" i="30"/>
  <c r="AH51" i="29"/>
  <c r="AN29" i="28"/>
  <c r="AH588" i="31"/>
  <c r="AH580" i="31" s="1"/>
  <c r="AH749" i="30"/>
  <c r="AH741" i="30" s="1"/>
  <c r="AI31" i="28"/>
  <c r="AK335" i="31"/>
  <c r="AJ337" i="31"/>
  <c r="AJ501" i="30"/>
  <c r="AL501" i="30"/>
  <c r="AV53" i="67"/>
  <c r="AV35" i="67"/>
  <c r="AF67" i="29"/>
  <c r="BA130" i="29"/>
  <c r="AG44" i="28"/>
  <c r="AZ53" i="67"/>
  <c r="AZ35" i="67"/>
  <c r="AF71" i="29"/>
  <c r="BA134" i="29"/>
  <c r="BC134" i="29" s="1"/>
  <c r="AG48" i="28"/>
  <c r="AZ54" i="67"/>
  <c r="AZ36" i="67"/>
  <c r="BB134" i="29"/>
  <c r="AF48" i="28"/>
  <c r="AH48" i="28" s="1"/>
  <c r="AG71" i="29"/>
  <c r="BD53" i="67"/>
  <c r="BD35" i="67"/>
  <c r="AF75" i="29"/>
  <c r="BA138" i="29"/>
  <c r="BC138" i="29" s="1"/>
  <c r="AG52" i="28"/>
  <c r="BD54" i="67"/>
  <c r="BD36" i="67"/>
  <c r="BB138" i="29"/>
  <c r="AF52" i="28"/>
  <c r="AH52" i="28" s="1"/>
  <c r="AG75" i="29"/>
  <c r="BF30" i="67"/>
  <c r="BF48" i="67"/>
  <c r="AR140" i="29"/>
  <c r="BF37" i="67"/>
  <c r="BF55" i="67"/>
  <c r="BF56" i="67" s="1"/>
  <c r="AH77" i="29"/>
  <c r="AH64" i="29" s="1"/>
  <c r="AI56" i="28"/>
  <c r="BH30" i="67"/>
  <c r="BH48" i="67"/>
  <c r="AR142" i="29"/>
  <c r="BH37" i="67"/>
  <c r="BH55" i="67"/>
  <c r="BH56" i="67" s="1"/>
  <c r="AI57" i="28"/>
  <c r="AH79" i="29"/>
  <c r="AK60" i="28"/>
  <c r="AK81" i="29"/>
  <c r="AB351" i="31"/>
  <c r="AB511" i="30"/>
  <c r="AI761" i="30"/>
  <c r="AI601" i="31"/>
  <c r="BN29" i="67"/>
  <c r="BN47" i="67"/>
  <c r="BN51" i="67"/>
  <c r="BN33" i="67"/>
  <c r="BY30" i="67"/>
  <c r="BY48" i="67"/>
  <c r="AB405" i="31"/>
  <c r="AB565" i="30"/>
  <c r="AB416" i="31"/>
  <c r="AK66" i="28"/>
  <c r="AK87" i="29"/>
  <c r="AK85" i="29" s="1"/>
  <c r="BQ38" i="67"/>
  <c r="BS54" i="67"/>
  <c r="BS36" i="67"/>
  <c r="AG88" i="29"/>
  <c r="AH170" i="29" s="1"/>
  <c r="AI170" i="29" s="1"/>
  <c r="AF72" i="28"/>
  <c r="AH72" i="28" s="1"/>
  <c r="AK88" i="29"/>
  <c r="AK72" i="28"/>
  <c r="BT50" i="67"/>
  <c r="BT32" i="67"/>
  <c r="AO96" i="29"/>
  <c r="AO82" i="29"/>
  <c r="AN62" i="28"/>
  <c r="CC38" i="67"/>
  <c r="BT29" i="67"/>
  <c r="BT47" i="67"/>
  <c r="BT33" i="67"/>
  <c r="BT51" i="67"/>
  <c r="AK76" i="28"/>
  <c r="AK91" i="29"/>
  <c r="CC53" i="67"/>
  <c r="CC35" i="67"/>
  <c r="AJ769" i="30"/>
  <c r="AG78" i="28"/>
  <c r="AJ609" i="31"/>
  <c r="AF94" i="29"/>
  <c r="AG176" i="29" s="1"/>
  <c r="CC54" i="67"/>
  <c r="CC36" i="67"/>
  <c r="AK609" i="31"/>
  <c r="AL609" i="31" s="1"/>
  <c r="AF78" i="28"/>
  <c r="AH78" i="28" s="1"/>
  <c r="AK769" i="30"/>
  <c r="AL769" i="30" s="1"/>
  <c r="AG94" i="29"/>
  <c r="AH176" i="29" s="1"/>
  <c r="AI176" i="29" s="1"/>
  <c r="CB35" i="67"/>
  <c r="CB53" i="67"/>
  <c r="AF93" i="29"/>
  <c r="AG175" i="29" s="1"/>
  <c r="AG77" i="28"/>
  <c r="BW55" i="67"/>
  <c r="BW37" i="67"/>
  <c r="BU37" i="67" s="1"/>
  <c r="AB536" i="31"/>
  <c r="AB696" i="30"/>
  <c r="AK93" i="28"/>
  <c r="CI48" i="67"/>
  <c r="CI30" i="67"/>
  <c r="CI55" i="67"/>
  <c r="CI56" i="67" s="1"/>
  <c r="CI37" i="67"/>
  <c r="AH100" i="29"/>
  <c r="AH99" i="29" s="1"/>
  <c r="AI95" i="28"/>
  <c r="AE115" i="29"/>
  <c r="AH305" i="31"/>
  <c r="AH269" i="30"/>
  <c r="AH306" i="31"/>
  <c r="AH270" i="30"/>
  <c r="AH272" i="30"/>
  <c r="AH308" i="31"/>
  <c r="AJ107" i="29"/>
  <c r="AJ97" i="29" s="1"/>
  <c r="AM45" i="29"/>
  <c r="AB501" i="31"/>
  <c r="AB661" i="30"/>
  <c r="AI93" i="29"/>
  <c r="AL93" i="29" s="1"/>
  <c r="AJ77" i="28"/>
  <c r="AB521" i="31"/>
  <c r="AB681" i="30"/>
  <c r="AJ92" i="28"/>
  <c r="AL92" i="28" s="1"/>
  <c r="BW30" i="67"/>
  <c r="BW48" i="67"/>
  <c r="BW50" i="67"/>
  <c r="BU50" i="67" s="1"/>
  <c r="CG50" i="67" s="1"/>
  <c r="BW32" i="67"/>
  <c r="CI49" i="67"/>
  <c r="CI31" i="67"/>
  <c r="CI50" i="67"/>
  <c r="CI32" i="67"/>
  <c r="AH303" i="31"/>
  <c r="AH267" i="30"/>
  <c r="BT48" i="67"/>
  <c r="BT30" i="67"/>
  <c r="BT55" i="67"/>
  <c r="BT56" i="67" s="1"/>
  <c r="BT37" i="67"/>
  <c r="AI73" i="28"/>
  <c r="AH89" i="29"/>
  <c r="BZ35" i="67"/>
  <c r="BZ53" i="67"/>
  <c r="AB455" i="31"/>
  <c r="AJ766" i="30"/>
  <c r="AB615" i="30"/>
  <c r="AJ606" i="31"/>
  <c r="AG76" i="28"/>
  <c r="AF91" i="29"/>
  <c r="AG173" i="29" s="1"/>
  <c r="BZ36" i="67"/>
  <c r="BZ54" i="67"/>
  <c r="AK606" i="31"/>
  <c r="AL606" i="31" s="1"/>
  <c r="AG91" i="29"/>
  <c r="AH173" i="29" s="1"/>
  <c r="AI173" i="29" s="1"/>
  <c r="AK766" i="30"/>
  <c r="AL766" i="30" s="1"/>
  <c r="AF76" i="28"/>
  <c r="AH76" i="28" s="1"/>
  <c r="AI94" i="29"/>
  <c r="AJ78" i="28"/>
  <c r="AB249" i="31"/>
  <c r="AB639" i="30"/>
  <c r="AB479" i="31"/>
  <c r="AB487" i="31"/>
  <c r="AB647" i="30"/>
  <c r="AK78" i="28"/>
  <c r="AB488" i="31"/>
  <c r="AB648" i="30"/>
  <c r="AK94" i="29"/>
  <c r="BY53" i="67"/>
  <c r="BY35" i="67"/>
  <c r="AJ771" i="30"/>
  <c r="AG74" i="28"/>
  <c r="AJ611" i="31"/>
  <c r="BW51" i="67"/>
  <c r="BU51" i="67" s="1"/>
  <c r="CG51" i="67" s="1"/>
  <c r="BW33" i="67"/>
  <c r="CI29" i="67"/>
  <c r="CI47" i="67"/>
  <c r="AH307" i="31"/>
  <c r="AH271" i="30"/>
  <c r="AH309" i="31"/>
  <c r="AH273" i="30"/>
  <c r="AM109" i="28"/>
  <c r="AE64" i="29"/>
  <c r="AG34" i="29"/>
  <c r="AG37" i="29" s="1"/>
  <c r="AG32" i="29"/>
  <c r="AG35" i="29" s="1"/>
  <c r="AG33" i="29"/>
  <c r="AG36" i="29" s="1"/>
  <c r="AB485" i="30"/>
  <c r="AJ172" i="30"/>
  <c r="AM172" i="30" s="1"/>
  <c r="AO93" i="29"/>
  <c r="AN77" i="28"/>
  <c r="BY37" i="67"/>
  <c r="BY55" i="67"/>
  <c r="BY56" i="67" s="1"/>
  <c r="BW52" i="67"/>
  <c r="BW34" i="67"/>
  <c r="AE93" i="28"/>
  <c r="BW54" i="67"/>
  <c r="BW36" i="67"/>
  <c r="AF93" i="28"/>
  <c r="BX55" i="67"/>
  <c r="BX56" i="67" s="1"/>
  <c r="BX37" i="67"/>
  <c r="CJ38" i="67"/>
  <c r="CI52" i="67"/>
  <c r="CI34" i="67"/>
  <c r="CI35" i="67"/>
  <c r="CI53" i="67"/>
  <c r="AB727" i="30"/>
  <c r="AB566" i="31"/>
  <c r="AI105" i="29"/>
  <c r="AH302" i="31"/>
  <c r="AH266" i="30"/>
  <c r="AF190" i="29"/>
  <c r="BT13" i="57"/>
  <c r="BL13" i="57"/>
  <c r="AG516" i="30"/>
  <c r="AI41" i="28"/>
  <c r="AM53" i="28"/>
  <c r="AL92" i="29"/>
  <c r="AN143" i="29"/>
  <c r="AS129" i="29"/>
  <c r="AS127" i="29" s="1"/>
  <c r="AL142" i="30"/>
  <c r="AI174" i="30"/>
  <c r="AL152" i="30"/>
  <c r="AL156" i="30"/>
  <c r="AL161" i="30"/>
  <c r="AM162" i="30"/>
  <c r="AK166" i="30"/>
  <c r="AM164" i="30"/>
  <c r="AL165" i="30"/>
  <c r="AL168" i="30"/>
  <c r="AI171" i="30"/>
  <c r="AJ174" i="30"/>
  <c r="AB317" i="30"/>
  <c r="AB585" i="30"/>
  <c r="AB640" i="30"/>
  <c r="AK172" i="31"/>
  <c r="AM142" i="31"/>
  <c r="AL142" i="31"/>
  <c r="AB180" i="31"/>
  <c r="AM32" i="28"/>
  <c r="AL32" i="28"/>
  <c r="AL77" i="28"/>
  <c r="AM106" i="28"/>
  <c r="AL106" i="28"/>
  <c r="AH108" i="28"/>
  <c r="AF109" i="28"/>
  <c r="AH109" i="28" s="1"/>
  <c r="AH34" i="29"/>
  <c r="AH37" i="29" s="1"/>
  <c r="AH33" i="29"/>
  <c r="AH36" i="29" s="1"/>
  <c r="AG168" i="29"/>
  <c r="AN86" i="29"/>
  <c r="AM86" i="29"/>
  <c r="AN96" i="29"/>
  <c r="AE99" i="29"/>
  <c r="AG143" i="29"/>
  <c r="AK143" i="29"/>
  <c r="AS124" i="29"/>
  <c r="AS123" i="29" s="1"/>
  <c r="AQ123" i="29"/>
  <c r="AL164" i="30"/>
  <c r="AK174" i="30"/>
  <c r="AL174" i="30" s="1"/>
  <c r="AB232" i="30"/>
  <c r="AL185" i="31"/>
  <c r="AK194" i="31" s="1"/>
  <c r="AM138" i="31"/>
  <c r="AL138" i="31"/>
  <c r="AL186" i="31" s="1"/>
  <c r="AB186" i="31" s="1"/>
  <c r="AM160" i="31"/>
  <c r="AL160" i="31"/>
  <c r="AI164" i="31"/>
  <c r="AI170" i="31" s="1"/>
  <c r="AL165" i="31"/>
  <c r="AB184" i="31"/>
  <c r="AE41" i="28"/>
  <c r="AK64" i="28"/>
  <c r="AM65" i="28"/>
  <c r="AF177" i="29"/>
  <c r="AI127" i="29"/>
  <c r="AI143" i="29" s="1"/>
  <c r="AH168" i="29"/>
  <c r="AI168" i="29" s="1"/>
  <c r="AB570" i="30"/>
  <c r="AB464" i="30"/>
  <c r="AB432" i="30"/>
  <c r="AB282" i="30"/>
  <c r="AB231" i="30"/>
  <c r="AB212" i="30"/>
  <c r="AB633" i="30"/>
  <c r="AB347" i="30"/>
  <c r="AB323" i="30"/>
  <c r="AB318" i="30"/>
  <c r="AB296" i="30"/>
  <c r="AL182" i="30"/>
  <c r="AK173" i="30"/>
  <c r="AL173" i="30" s="1"/>
  <c r="AM156" i="31"/>
  <c r="AL156" i="31"/>
  <c r="AK170" i="31"/>
  <c r="AI356" i="31"/>
  <c r="AI355" i="31" s="1"/>
  <c r="AG363" i="31"/>
  <c r="AH29" i="28"/>
  <c r="AL61" i="28"/>
  <c r="AM62" i="28"/>
  <c r="AL62" i="28"/>
  <c r="AL65" i="28"/>
  <c r="AH92" i="28"/>
  <c r="AM92" i="28"/>
  <c r="AN108" i="28"/>
  <c r="AL96" i="29"/>
  <c r="AV123" i="29"/>
  <c r="AX124" i="29"/>
  <c r="AX123" i="29" s="1"/>
  <c r="AI191" i="30"/>
  <c r="AL143" i="30"/>
  <c r="AI192" i="30" s="1"/>
  <c r="AB192" i="30" s="1"/>
  <c r="AI194" i="30"/>
  <c r="AM147" i="30"/>
  <c r="AI199" i="30"/>
  <c r="AL148" i="30"/>
  <c r="AL153" i="30"/>
  <c r="AL157" i="30"/>
  <c r="AL162" i="30"/>
  <c r="AL177" i="30"/>
  <c r="AL169" i="30"/>
  <c r="AL176" i="30"/>
  <c r="AB263" i="30"/>
  <c r="AB292" i="30"/>
  <c r="AB316" i="30"/>
  <c r="AM139" i="31"/>
  <c r="AJ172" i="31"/>
  <c r="AM172" i="31" s="1"/>
  <c r="AL143" i="31"/>
  <c r="AM148" i="31"/>
  <c r="AL148" i="31"/>
  <c r="AK169" i="31"/>
  <c r="AL169" i="31" s="1"/>
  <c r="AK193" i="31"/>
  <c r="AD236" i="31"/>
  <c r="AI188" i="31"/>
  <c r="AH726" i="31"/>
  <c r="D441" i="78"/>
  <c r="D448" i="78"/>
  <c r="AK171" i="30"/>
  <c r="AL171" i="30" s="1"/>
  <c r="AL153" i="31"/>
  <c r="AL157" i="31"/>
  <c r="AK171" i="31"/>
  <c r="D442" i="78"/>
  <c r="D449" i="78"/>
  <c r="D447" i="78"/>
  <c r="AL108" i="28"/>
  <c r="AL166" i="31"/>
  <c r="D443" i="78"/>
  <c r="X33" i="57"/>
  <c r="O22" i="44"/>
  <c r="O25" i="44"/>
  <c r="N47" i="44"/>
  <c r="O47" i="44" s="1"/>
  <c r="M47" i="44"/>
  <c r="N50" i="44"/>
  <c r="O50" i="44" s="1"/>
  <c r="M50" i="44"/>
  <c r="N53" i="44"/>
  <c r="O53" i="44" s="1"/>
  <c r="M53" i="44"/>
  <c r="AJ40" i="66"/>
  <c r="AG90" i="29"/>
  <c r="AH172" i="29" s="1"/>
  <c r="O125" i="57"/>
  <c r="O124" i="57"/>
  <c r="O138" i="57"/>
  <c r="O137" i="57"/>
  <c r="O136" i="57"/>
  <c r="O141" i="57"/>
  <c r="AH134" i="57"/>
  <c r="N20" i="44"/>
  <c r="N21" i="44" s="1"/>
  <c r="N22" i="44" s="1"/>
  <c r="N23" i="44" s="1"/>
  <c r="N24" i="44" s="1"/>
  <c r="N26" i="44" s="1"/>
  <c r="N27" i="44" s="1"/>
  <c r="N28" i="44" s="1"/>
  <c r="O21" i="44"/>
  <c r="O28" i="44"/>
  <c r="AE37" i="66"/>
  <c r="AH35" i="66"/>
  <c r="AE38" i="66"/>
  <c r="AE34" i="66" s="1"/>
  <c r="AH39" i="66"/>
  <c r="AH38" i="66" s="1"/>
  <c r="AL40" i="66"/>
  <c r="AL38" i="66" s="1"/>
  <c r="P31" i="57"/>
  <c r="O77" i="57"/>
  <c r="V141" i="57"/>
  <c r="V138" i="57" s="1"/>
  <c r="V139" i="57"/>
  <c r="S144" i="57"/>
  <c r="S134" i="57" s="1"/>
  <c r="O19" i="44"/>
  <c r="O20" i="44"/>
  <c r="O24" i="44"/>
  <c r="O27" i="44"/>
  <c r="N49" i="44"/>
  <c r="O49" i="44" s="1"/>
  <c r="M49" i="44"/>
  <c r="N52" i="44"/>
  <c r="O52" i="44" s="1"/>
  <c r="M52" i="44"/>
  <c r="N61" i="44"/>
  <c r="O61" i="44" s="1"/>
  <c r="M61" i="44"/>
  <c r="M80" i="44"/>
  <c r="L25" i="44"/>
  <c r="L24" i="44"/>
  <c r="L26" i="44" s="1"/>
  <c r="L27" i="44" s="1"/>
  <c r="L28" i="44" s="1"/>
  <c r="O23" i="44"/>
  <c r="AK35" i="66"/>
  <c r="AL35" i="66"/>
  <c r="G175" i="57"/>
  <c r="G174" i="57"/>
  <c r="G219" i="57"/>
  <c r="G222" i="57"/>
  <c r="G221" i="57"/>
  <c r="G220" i="57"/>
  <c r="Q31" i="57"/>
  <c r="Q33" i="57" s="1"/>
  <c r="P32" i="57"/>
  <c r="T33" i="57"/>
  <c r="R33" i="57" s="1"/>
  <c r="R31" i="57"/>
  <c r="U78" i="57"/>
  <c r="V150" i="57"/>
  <c r="V147" i="57" s="1"/>
  <c r="V148" i="57"/>
  <c r="J161" i="57"/>
  <c r="J158" i="57" s="1"/>
  <c r="L159" i="57"/>
  <c r="L161" i="57"/>
  <c r="L158" i="57" s="1"/>
  <c r="T161" i="57"/>
  <c r="T159" i="57"/>
  <c r="W159" i="57"/>
  <c r="W161" i="57"/>
  <c r="W158" i="57" s="1"/>
  <c r="N158" i="57"/>
  <c r="T158" i="57"/>
  <c r="BJ235" i="57"/>
  <c r="BD235" i="57" s="1"/>
  <c r="BC235" i="57" s="1"/>
  <c r="AS235" i="57"/>
  <c r="X265" i="57"/>
  <c r="X275" i="57"/>
  <c r="AJ35" i="66"/>
  <c r="W31" i="57"/>
  <c r="X32" i="57"/>
  <c r="M33" i="57"/>
  <c r="O76" i="57"/>
  <c r="T76" i="57"/>
  <c r="T78" i="57" s="1"/>
  <c r="R77" i="57"/>
  <c r="R78" i="57" s="1"/>
  <c r="P78" i="57"/>
  <c r="C118" i="57"/>
  <c r="C119" i="57" s="1"/>
  <c r="C120" i="57" s="1"/>
  <c r="D117" i="57"/>
  <c r="V118" i="57"/>
  <c r="Y117" i="57"/>
  <c r="AI117" i="57"/>
  <c r="D136" i="57"/>
  <c r="C137" i="57"/>
  <c r="D135" i="57"/>
  <c r="AD134" i="57"/>
  <c r="V135" i="57"/>
  <c r="Z134" i="57"/>
  <c r="AK135" i="57"/>
  <c r="AK134" i="57" s="1"/>
  <c r="V145" i="57"/>
  <c r="V144" i="57" s="1"/>
  <c r="W144" i="57"/>
  <c r="W134" i="57" s="1"/>
  <c r="V146" i="57"/>
  <c r="G166" i="57"/>
  <c r="G165" i="57"/>
  <c r="Y161" i="57"/>
  <c r="Y158" i="57" s="1"/>
  <c r="P158" i="57"/>
  <c r="AB158" i="57"/>
  <c r="G178" i="57"/>
  <c r="G177" i="57"/>
  <c r="X255" i="57"/>
  <c r="X296" i="57"/>
  <c r="P33" i="57"/>
  <c r="L33" i="57"/>
  <c r="K31" i="57"/>
  <c r="U117" i="57"/>
  <c r="AE117" i="57"/>
  <c r="V119" i="57"/>
  <c r="Z161" i="57"/>
  <c r="Z158" i="57" s="1"/>
  <c r="Z159" i="57"/>
  <c r="BM246" i="57"/>
  <c r="BH246" i="57"/>
  <c r="X312" i="57"/>
  <c r="I48" i="62"/>
  <c r="I49" i="62"/>
  <c r="I50" i="62"/>
  <c r="I47" i="62"/>
  <c r="AT56" i="67"/>
  <c r="O150" i="57"/>
  <c r="J52" i="61"/>
  <c r="J53" i="61"/>
  <c r="J54" i="61"/>
  <c r="AM37" i="62"/>
  <c r="AE32" i="62" s="1"/>
  <c r="I72" i="62"/>
  <c r="I73" i="62"/>
  <c r="I71" i="62"/>
  <c r="AF55" i="66"/>
  <c r="AI55" i="66" s="1"/>
  <c r="AE55" i="66"/>
  <c r="AH55" i="66" s="1"/>
  <c r="BL29" i="67"/>
  <c r="AD37" i="67"/>
  <c r="AB36" i="67"/>
  <c r="AG40" i="66"/>
  <c r="AF38" i="66"/>
  <c r="AG38" i="66" s="1"/>
  <c r="AI39" i="66"/>
  <c r="AI38" i="66" s="1"/>
  <c r="AJ38" i="66" s="1"/>
  <c r="W33" i="57"/>
  <c r="O118" i="57"/>
  <c r="O119" i="57"/>
  <c r="O120" i="57"/>
  <c r="O147" i="57"/>
  <c r="G162" i="57"/>
  <c r="G167" i="57"/>
  <c r="G171" i="57"/>
  <c r="AG84" i="61"/>
  <c r="AE26" i="61" s="1"/>
  <c r="AE28" i="61" s="1"/>
  <c r="AE31" i="61" s="1"/>
  <c r="AG41" i="61"/>
  <c r="BU31" i="67"/>
  <c r="B52" i="67"/>
  <c r="C51" i="67"/>
  <c r="AN54" i="67"/>
  <c r="AC32" i="68"/>
  <c r="AE31" i="68"/>
  <c r="B31" i="68"/>
  <c r="AG35" i="66"/>
  <c r="AK38" i="66"/>
  <c r="AM84" i="61"/>
  <c r="AJ41" i="61"/>
  <c r="AJ84" i="61" s="1"/>
  <c r="I70" i="61"/>
  <c r="I71" i="61"/>
  <c r="I69" i="61"/>
  <c r="J76" i="61"/>
  <c r="J77" i="61"/>
  <c r="AF68" i="66"/>
  <c r="AF53" i="66"/>
  <c r="AI53" i="66" s="1"/>
  <c r="AF52" i="66"/>
  <c r="AI52" i="66" s="1"/>
  <c r="AF49" i="66"/>
  <c r="AI49" i="66" s="1"/>
  <c r="AI48" i="66" s="1"/>
  <c r="AF47" i="66"/>
  <c r="AI47" i="66" s="1"/>
  <c r="AF46" i="66"/>
  <c r="AI46" i="66" s="1"/>
  <c r="AF45" i="66"/>
  <c r="AI45" i="66" s="1"/>
  <c r="AF44" i="66"/>
  <c r="AI44" i="66" s="1"/>
  <c r="AF43" i="66"/>
  <c r="AI43" i="66" s="1"/>
  <c r="AF42" i="66"/>
  <c r="AF37" i="66"/>
  <c r="AF58" i="66"/>
  <c r="AI58" i="66" s="1"/>
  <c r="AE58" i="66"/>
  <c r="AH58" i="66" s="1"/>
  <c r="AG57" i="66"/>
  <c r="AN28" i="67"/>
  <c r="I44" i="61"/>
  <c r="I63" i="61"/>
  <c r="J69" i="61"/>
  <c r="J47" i="62"/>
  <c r="I65" i="62"/>
  <c r="J71" i="62"/>
  <c r="AF59" i="66"/>
  <c r="AI59" i="66" s="1"/>
  <c r="AG28" i="67"/>
  <c r="AJ29" i="67"/>
  <c r="AG29" i="67" s="1"/>
  <c r="AN30" i="67"/>
  <c r="BP36" i="67"/>
  <c r="AN47" i="67"/>
  <c r="C58" i="67"/>
  <c r="B57" i="67"/>
  <c r="AB58" i="67"/>
  <c r="AD57" i="67"/>
  <c r="J44" i="61"/>
  <c r="I47" i="61"/>
  <c r="I40" i="62"/>
  <c r="J50" i="62"/>
  <c r="J60" i="62"/>
  <c r="AK60" i="66"/>
  <c r="AK59" i="66"/>
  <c r="AK58" i="66"/>
  <c r="AL42" i="66"/>
  <c r="AL52" i="66"/>
  <c r="AK55" i="66"/>
  <c r="AL58" i="66"/>
  <c r="AF60" i="66"/>
  <c r="AI60" i="66" s="1"/>
  <c r="AN32" i="67"/>
  <c r="AU32" i="67"/>
  <c r="BL32" i="67"/>
  <c r="BU47" i="67"/>
  <c r="BP50" i="67"/>
  <c r="AQ56" i="67"/>
  <c r="BQ56" i="67"/>
  <c r="CD56" i="67"/>
  <c r="BZ56" i="67"/>
  <c r="BV56" i="67"/>
  <c r="BR56" i="67"/>
  <c r="BE56" i="67"/>
  <c r="BA56" i="67"/>
  <c r="AW56" i="67"/>
  <c r="BM56" i="67"/>
  <c r="AJ68" i="66"/>
  <c r="CB56" i="67"/>
  <c r="AK54" i="66"/>
  <c r="AL55" i="66"/>
  <c r="AK57" i="66"/>
  <c r="BI28" i="67"/>
  <c r="CK28" i="67" s="1"/>
  <c r="CF28" i="67" s="1"/>
  <c r="BP29" i="67"/>
  <c r="AN33" i="67"/>
  <c r="C36" i="67"/>
  <c r="B37" i="67"/>
  <c r="BI46" i="67"/>
  <c r="CK46" i="67" s="1"/>
  <c r="CF46" i="67" s="1"/>
  <c r="AN50" i="67"/>
  <c r="AU50" i="67"/>
  <c r="BL50" i="67"/>
  <c r="AX56" i="67"/>
  <c r="BB56" i="67"/>
  <c r="CJ56" i="67"/>
  <c r="AR56" i="67"/>
  <c r="B38" i="67"/>
  <c r="C39" i="67"/>
  <c r="AB40" i="67"/>
  <c r="B54" i="67"/>
  <c r="AP56" i="67"/>
  <c r="AO55" i="67"/>
  <c r="AU55" i="67"/>
  <c r="BO56" i="67"/>
  <c r="BS56" i="67"/>
  <c r="CA56" i="67"/>
  <c r="CE56" i="67"/>
  <c r="CW42" i="68"/>
  <c r="CV42" i="68"/>
  <c r="AB55" i="67"/>
  <c r="AC29" i="68"/>
  <c r="AE29" i="68" s="1"/>
  <c r="CH38" i="68"/>
  <c r="CK38" i="68" s="1"/>
  <c r="CM38" i="68" s="1"/>
  <c r="CN38" i="68" s="1"/>
  <c r="AE40" i="68"/>
  <c r="AC41" i="68"/>
  <c r="CW43" i="68"/>
  <c r="CV43" i="68"/>
  <c r="AL164" i="31" l="1"/>
  <c r="AF48" i="66"/>
  <c r="AF57" i="29"/>
  <c r="AS31" i="67"/>
  <c r="BI31" i="67" s="1"/>
  <c r="AF33" i="28"/>
  <c r="AH33" i="28" s="1"/>
  <c r="AE58" i="28"/>
  <c r="AJ170" i="31"/>
  <c r="AM170" i="31" s="1"/>
  <c r="AI58" i="28"/>
  <c r="BU32" i="67"/>
  <c r="CG32" i="67" s="1"/>
  <c r="BU30" i="67"/>
  <c r="AS30" i="67"/>
  <c r="BI30" i="67" s="1"/>
  <c r="AS37" i="67"/>
  <c r="BI37" i="67" s="1"/>
  <c r="AS51" i="67"/>
  <c r="BI51" i="67" s="1"/>
  <c r="AW143" i="29"/>
  <c r="AJ28" i="29" s="1"/>
  <c r="AG51" i="66"/>
  <c r="AG56" i="66" s="1"/>
  <c r="CG29" i="67"/>
  <c r="CK29" i="67" s="1"/>
  <c r="CF29" i="67" s="1"/>
  <c r="AK190" i="30"/>
  <c r="AK199" i="30"/>
  <c r="AK192" i="31"/>
  <c r="AJ208" i="31" s="1"/>
  <c r="CG31" i="67"/>
  <c r="CK31" i="67" s="1"/>
  <c r="CF31" i="67" s="1"/>
  <c r="BU33" i="67"/>
  <c r="CG33" i="67" s="1"/>
  <c r="AS33" i="67"/>
  <c r="BI33" i="67" s="1"/>
  <c r="AK198" i="30"/>
  <c r="AH51" i="66"/>
  <c r="AH56" i="66" s="1"/>
  <c r="AS50" i="67"/>
  <c r="BI50" i="67" s="1"/>
  <c r="AK200" i="30"/>
  <c r="G105" i="78"/>
  <c r="G4" i="78"/>
  <c r="AE51" i="66"/>
  <c r="AK194" i="30"/>
  <c r="AJ210" i="30" s="1"/>
  <c r="AK196" i="30"/>
  <c r="CG47" i="67"/>
  <c r="AH80" i="29"/>
  <c r="AS48" i="67"/>
  <c r="BI48" i="67" s="1"/>
  <c r="AE80" i="29"/>
  <c r="BA45" i="29" s="1"/>
  <c r="AS52" i="67"/>
  <c r="BI52" i="67" s="1"/>
  <c r="G3" i="78"/>
  <c r="AR127" i="29"/>
  <c r="AR143" i="29" s="1"/>
  <c r="AI28" i="29" s="1"/>
  <c r="AI515" i="30"/>
  <c r="AG515" i="30"/>
  <c r="AH63" i="28"/>
  <c r="AK61" i="66"/>
  <c r="AM38" i="66"/>
  <c r="AI172" i="29"/>
  <c r="AG85" i="29"/>
  <c r="AH167" i="29" s="1"/>
  <c r="AI167" i="29" s="1"/>
  <c r="AP33" i="28"/>
  <c r="AL763" i="30"/>
  <c r="AI165" i="29"/>
  <c r="AS32" i="67"/>
  <c r="BI32" i="67" s="1"/>
  <c r="AL51" i="66"/>
  <c r="CG49" i="67"/>
  <c r="CK49" i="67" s="1"/>
  <c r="CF49" i="67" s="1"/>
  <c r="BU48" i="67"/>
  <c r="CG48" i="67" s="1"/>
  <c r="CK48" i="67" s="1"/>
  <c r="CF48" i="67" s="1"/>
  <c r="AL603" i="31"/>
  <c r="AS55" i="67"/>
  <c r="AK56" i="66"/>
  <c r="AO33" i="28"/>
  <c r="AS49" i="67"/>
  <c r="BI49" i="67" s="1"/>
  <c r="AL61" i="66"/>
  <c r="AL56" i="66"/>
  <c r="AH56" i="28"/>
  <c r="AE56" i="66"/>
  <c r="AK56" i="67"/>
  <c r="AK57" i="67" s="1"/>
  <c r="AK58" i="67" s="1"/>
  <c r="AK59" i="67" s="1"/>
  <c r="AK60" i="67" s="1"/>
  <c r="AK38" i="67"/>
  <c r="AK39" i="67" s="1"/>
  <c r="AK40" i="67" s="1"/>
  <c r="AK41" i="67" s="1"/>
  <c r="AK42" i="67" s="1"/>
  <c r="AH258" i="31"/>
  <c r="AH255" i="30"/>
  <c r="AQ36" i="67"/>
  <c r="AQ54" i="67"/>
  <c r="AG62" i="29"/>
  <c r="AF37" i="28"/>
  <c r="AH37" i="28" s="1"/>
  <c r="BB125" i="29"/>
  <c r="AF259" i="31"/>
  <c r="AF256" i="30"/>
  <c r="B39" i="67"/>
  <c r="C40" i="67"/>
  <c r="AF51" i="66"/>
  <c r="AF56" i="66" s="1"/>
  <c r="AI42" i="66"/>
  <c r="AI51" i="66" s="1"/>
  <c r="AI56" i="66" s="1"/>
  <c r="C121" i="57"/>
  <c r="C122" i="57" s="1"/>
  <c r="C123" i="57" s="1"/>
  <c r="D120" i="57"/>
  <c r="BJ55" i="67"/>
  <c r="BJ37" i="67"/>
  <c r="BJ54" i="67"/>
  <c r="BK36" i="67"/>
  <c r="BJ36" i="67"/>
  <c r="AK600" i="31"/>
  <c r="AG81" i="29"/>
  <c r="AF60" i="28"/>
  <c r="AK760" i="30"/>
  <c r="AF34" i="66"/>
  <c r="AG34" i="66" s="1"/>
  <c r="AL171" i="31"/>
  <c r="AM171" i="31"/>
  <c r="AM85" i="29"/>
  <c r="AK172" i="30"/>
  <c r="AL172" i="30" s="1"/>
  <c r="AL166" i="30"/>
  <c r="AH93" i="28"/>
  <c r="AI118" i="29"/>
  <c r="AH118" i="29"/>
  <c r="AG118" i="29"/>
  <c r="AM76" i="28"/>
  <c r="AP96" i="29"/>
  <c r="AP91" i="29"/>
  <c r="AO76" i="28"/>
  <c r="AN88" i="29"/>
  <c r="AM88" i="29"/>
  <c r="AM66" i="28"/>
  <c r="AN81" i="29"/>
  <c r="AM81" i="29"/>
  <c r="AG43" i="28"/>
  <c r="AU53" i="67"/>
  <c r="AM28" i="28"/>
  <c r="AK33" i="28"/>
  <c r="AL28" i="28"/>
  <c r="CA36" i="67"/>
  <c r="CA54" i="67"/>
  <c r="AG92" i="29"/>
  <c r="AH174" i="29" s="1"/>
  <c r="AI174" i="29" s="1"/>
  <c r="BB123" i="29"/>
  <c r="AO36" i="67"/>
  <c r="BO38" i="67"/>
  <c r="AI457" i="30"/>
  <c r="AK75" i="29"/>
  <c r="AB414" i="30"/>
  <c r="AK52" i="28"/>
  <c r="AM84" i="28"/>
  <c r="AI177" i="29"/>
  <c r="CL29" i="67"/>
  <c r="CM29" i="67" s="1"/>
  <c r="CL47" i="67"/>
  <c r="AQ33" i="28"/>
  <c r="C314" i="78"/>
  <c r="G314" i="78" s="1"/>
  <c r="C242" i="78"/>
  <c r="G242" i="78" s="1"/>
  <c r="AP86" i="29"/>
  <c r="AO65" i="28"/>
  <c r="C36" i="78"/>
  <c r="G36" i="78" s="1"/>
  <c r="C9" i="78"/>
  <c r="G9" i="78" s="1"/>
  <c r="C100" i="78"/>
  <c r="G72" i="78"/>
  <c r="G54" i="78"/>
  <c r="AJ270" i="31"/>
  <c r="AJ238" i="30"/>
  <c r="AG87" i="66"/>
  <c r="G70" i="78"/>
  <c r="N84" i="44"/>
  <c r="O84" i="44" s="1"/>
  <c r="M84" i="44"/>
  <c r="N75" i="44"/>
  <c r="O75" i="44" s="1"/>
  <c r="M75" i="44"/>
  <c r="AJ36" i="67"/>
  <c r="AJ54" i="67"/>
  <c r="AM173" i="30"/>
  <c r="AI33" i="29"/>
  <c r="AI36" i="29" s="1"/>
  <c r="AI32" i="29"/>
  <c r="AI35" i="29" s="1"/>
  <c r="AI34" i="29"/>
  <c r="AI37" i="29" s="1"/>
  <c r="AQ143" i="29"/>
  <c r="AH38" i="29"/>
  <c r="AK197" i="31"/>
  <c r="AG38" i="29"/>
  <c r="AM78" i="28"/>
  <c r="AL78" i="28"/>
  <c r="AM171" i="30"/>
  <c r="BW56" i="67"/>
  <c r="BU55" i="67"/>
  <c r="CC57" i="67"/>
  <c r="CC39" i="67"/>
  <c r="AO62" i="28"/>
  <c r="AP82" i="29"/>
  <c r="BQ57" i="67"/>
  <c r="BQ39" i="67"/>
  <c r="AM60" i="28"/>
  <c r="BA129" i="29"/>
  <c r="BC130" i="29"/>
  <c r="BC129" i="29" s="1"/>
  <c r="AO87" i="29"/>
  <c r="AN66" i="28"/>
  <c r="AB356" i="30"/>
  <c r="AK42" i="28"/>
  <c r="AK65" i="29"/>
  <c r="AF35" i="28"/>
  <c r="AH36" i="28"/>
  <c r="AI33" i="28"/>
  <c r="AK67" i="29"/>
  <c r="AI374" i="30"/>
  <c r="AK44" i="28"/>
  <c r="AM31" i="28"/>
  <c r="AN33" i="28"/>
  <c r="AN39" i="28" s="1"/>
  <c r="AO39" i="28" s="1"/>
  <c r="AP39" i="28" s="1"/>
  <c r="AQ39" i="28" s="1"/>
  <c r="BY52" i="67"/>
  <c r="BU52" i="67" s="1"/>
  <c r="BY34" i="67"/>
  <c r="BU34" i="67" s="1"/>
  <c r="AE74" i="28"/>
  <c r="C438" i="78"/>
  <c r="G438" i="78" s="1"/>
  <c r="C450" i="78"/>
  <c r="G450" i="78" s="1"/>
  <c r="C448" i="78"/>
  <c r="G448" i="78" s="1"/>
  <c r="G442" i="78"/>
  <c r="C354" i="78"/>
  <c r="G354" i="78" s="1"/>
  <c r="AE105" i="28"/>
  <c r="C97" i="78"/>
  <c r="G97" i="78" s="1"/>
  <c r="C344" i="78"/>
  <c r="G344" i="78" s="1"/>
  <c r="C243" i="78"/>
  <c r="G243" i="78" s="1"/>
  <c r="G319" i="78"/>
  <c r="C231" i="78"/>
  <c r="G231" i="78" s="1"/>
  <c r="C275" i="78"/>
  <c r="N76" i="44"/>
  <c r="O76" i="44" s="1"/>
  <c r="M76" i="44"/>
  <c r="D420" i="78"/>
  <c r="G420" i="78" s="1"/>
  <c r="G75" i="78"/>
  <c r="G58" i="78"/>
  <c r="N78" i="44"/>
  <c r="O78" i="44" s="1"/>
  <c r="M78" i="44"/>
  <c r="AM87" i="66"/>
  <c r="D332" i="78"/>
  <c r="G332" i="78" s="1"/>
  <c r="AE31" i="66"/>
  <c r="AH31" i="66" s="1"/>
  <c r="G78" i="78"/>
  <c r="G65" i="78"/>
  <c r="G53" i="78"/>
  <c r="AH888" i="30"/>
  <c r="AJ888" i="30" s="1"/>
  <c r="AH728" i="31"/>
  <c r="AJ728" i="31" s="1"/>
  <c r="D88" i="78"/>
  <c r="G88" i="78" s="1"/>
  <c r="D233" i="78"/>
  <c r="M70" i="44"/>
  <c r="M90" i="44" s="1"/>
  <c r="N70" i="44"/>
  <c r="O70" i="44" s="1"/>
  <c r="O90" i="44" s="1"/>
  <c r="D7" i="78"/>
  <c r="G7" i="78" s="1"/>
  <c r="D47" i="78"/>
  <c r="G169" i="57"/>
  <c r="G168" i="57"/>
  <c r="O151" i="57"/>
  <c r="O152" i="57"/>
  <c r="AB54" i="67"/>
  <c r="AD55" i="67"/>
  <c r="C59" i="67"/>
  <c r="B58" i="67"/>
  <c r="AB539" i="30"/>
  <c r="AK84" i="29"/>
  <c r="B41" i="68"/>
  <c r="AE41" i="68"/>
  <c r="AC42" i="68"/>
  <c r="CK50" i="67"/>
  <c r="CF50" i="67" s="1"/>
  <c r="C35" i="67"/>
  <c r="B35" i="67" s="1"/>
  <c r="B36" i="67"/>
  <c r="C34" i="67"/>
  <c r="CK32" i="67"/>
  <c r="CF32" i="67" s="1"/>
  <c r="O148" i="57"/>
  <c r="O149" i="57"/>
  <c r="D137" i="57"/>
  <c r="C138" i="57"/>
  <c r="V117" i="57"/>
  <c r="AL34" i="66"/>
  <c r="AM35" i="66"/>
  <c r="O140" i="57"/>
  <c r="O139" i="57"/>
  <c r="BB54" i="67"/>
  <c r="BB36" i="67"/>
  <c r="BB136" i="29"/>
  <c r="AG73" i="29"/>
  <c r="AF50" i="28"/>
  <c r="AH50" i="28" s="1"/>
  <c r="D452" i="78"/>
  <c r="G452" i="78" s="1"/>
  <c r="AN109" i="28"/>
  <c r="AO108" i="28"/>
  <c r="AB186" i="30"/>
  <c r="AB182" i="30"/>
  <c r="AS143" i="29"/>
  <c r="AP53" i="67"/>
  <c r="AO53" i="67" s="1"/>
  <c r="AP35" i="67"/>
  <c r="AO35" i="67" s="1"/>
  <c r="AF61" i="29"/>
  <c r="AF60" i="29" s="1"/>
  <c r="BA124" i="29"/>
  <c r="AG36" i="28"/>
  <c r="AG35" i="28" s="1"/>
  <c r="AJ32" i="29"/>
  <c r="AJ35" i="29" s="1"/>
  <c r="AJ33" i="29"/>
  <c r="AJ36" i="29" s="1"/>
  <c r="AJ34" i="29"/>
  <c r="AJ37" i="29" s="1"/>
  <c r="BV38" i="67"/>
  <c r="AM65" i="66"/>
  <c r="AN94" i="29"/>
  <c r="AM94" i="29"/>
  <c r="AL94" i="29"/>
  <c r="CE57" i="67"/>
  <c r="CE39" i="67"/>
  <c r="AO93" i="28"/>
  <c r="AO92" i="28"/>
  <c r="BM57" i="67"/>
  <c r="BM39" i="67"/>
  <c r="CL50" i="67"/>
  <c r="CM50" i="67" s="1"/>
  <c r="CL32" i="67"/>
  <c r="AK50" i="28"/>
  <c r="AB394" i="30"/>
  <c r="AK73" i="29"/>
  <c r="AF66" i="29"/>
  <c r="AK62" i="29"/>
  <c r="AI308" i="30"/>
  <c r="AB303" i="30"/>
  <c r="AK37" i="28"/>
  <c r="AJ717" i="31"/>
  <c r="AK105" i="29"/>
  <c r="AN105" i="29" s="1"/>
  <c r="AJ877" i="30"/>
  <c r="AN53" i="28"/>
  <c r="AO53" i="28" s="1"/>
  <c r="AP53" i="28" s="1"/>
  <c r="AQ53" i="28" s="1"/>
  <c r="AK54" i="28"/>
  <c r="AB434" i="30"/>
  <c r="AK51" i="28"/>
  <c r="AB404" i="30"/>
  <c r="AK74" i="29"/>
  <c r="AG60" i="29"/>
  <c r="AG104" i="28"/>
  <c r="BP54" i="67"/>
  <c r="AL761" i="30"/>
  <c r="AI613" i="31"/>
  <c r="AK71" i="29"/>
  <c r="AK48" i="28"/>
  <c r="AI378" i="30"/>
  <c r="AK378" i="30" s="1"/>
  <c r="AM95" i="29"/>
  <c r="AN95" i="29"/>
  <c r="AL762" i="30"/>
  <c r="AL602" i="31"/>
  <c r="AH98" i="29"/>
  <c r="AH107" i="29" s="1"/>
  <c r="AV127" i="29"/>
  <c r="AV143" i="29" s="1"/>
  <c r="AX140" i="29"/>
  <c r="AX127" i="29" s="1"/>
  <c r="AX143" i="29" s="1"/>
  <c r="C436" i="78"/>
  <c r="G436" i="78" s="1"/>
  <c r="C304" i="78"/>
  <c r="C236" i="78"/>
  <c r="G236" i="78" s="1"/>
  <c r="C449" i="78"/>
  <c r="G449" i="78" s="1"/>
  <c r="AF31" i="66"/>
  <c r="AI31" i="66" s="1"/>
  <c r="C135" i="78"/>
  <c r="C15" i="78"/>
  <c r="G15" i="78" s="1"/>
  <c r="AE32" i="66"/>
  <c r="AH812" i="30"/>
  <c r="AH652" i="31"/>
  <c r="G62" i="78"/>
  <c r="D5" i="78"/>
  <c r="N77" i="44"/>
  <c r="O77" i="44" s="1"/>
  <c r="M77" i="44"/>
  <c r="G57" i="78"/>
  <c r="AH114" i="29"/>
  <c r="N85" i="44"/>
  <c r="O85" i="44" s="1"/>
  <c r="M85" i="44"/>
  <c r="G60" i="78"/>
  <c r="D10" i="78"/>
  <c r="C182" i="78"/>
  <c r="G182" i="78" s="1"/>
  <c r="C183" i="78"/>
  <c r="G183" i="78" s="1"/>
  <c r="C184" i="78"/>
  <c r="G184" i="78" s="1"/>
  <c r="AO56" i="67"/>
  <c r="AC33" i="68"/>
  <c r="B32" i="68"/>
  <c r="AE32" i="68"/>
  <c r="AE32" i="61"/>
  <c r="AJ200" i="31"/>
  <c r="AL200" i="31" s="1"/>
  <c r="AM200" i="31" s="1"/>
  <c r="AJ202" i="30"/>
  <c r="AL202" i="30" s="1"/>
  <c r="AM202" i="30" s="1"/>
  <c r="CK33" i="67"/>
  <c r="CF33" i="67" s="1"/>
  <c r="AB350" i="31"/>
  <c r="AB510" i="30"/>
  <c r="AJ60" i="28"/>
  <c r="AI81" i="29"/>
  <c r="BJ52" i="67"/>
  <c r="BJ34" i="67"/>
  <c r="AE81" i="29"/>
  <c r="AE60" i="28"/>
  <c r="AE91" i="28" s="1"/>
  <c r="AF188" i="29"/>
  <c r="BY54" i="67"/>
  <c r="BU54" i="67" s="1"/>
  <c r="BY36" i="67"/>
  <c r="BU36" i="67" s="1"/>
  <c r="AK611" i="31"/>
  <c r="AL611" i="31" s="1"/>
  <c r="AF74" i="28"/>
  <c r="AH74" i="28" s="1"/>
  <c r="AK771" i="30"/>
  <c r="AL771" i="30" s="1"/>
  <c r="BR35" i="67"/>
  <c r="BP35" i="67" s="1"/>
  <c r="BR53" i="67"/>
  <c r="BP53" i="67" s="1"/>
  <c r="AF87" i="29"/>
  <c r="AG66" i="28"/>
  <c r="AG64" i="28" s="1"/>
  <c r="AJ205" i="31"/>
  <c r="AJ207" i="30"/>
  <c r="AB209" i="30" s="1"/>
  <c r="CK47" i="67"/>
  <c r="CF47" i="67" s="1"/>
  <c r="CK51" i="67"/>
  <c r="CF51" i="67" s="1"/>
  <c r="BI55" i="67"/>
  <c r="AD40" i="67"/>
  <c r="AB41" i="67"/>
  <c r="BU56" i="67"/>
  <c r="BP56" i="67"/>
  <c r="AB59" i="67"/>
  <c r="AD58" i="67"/>
  <c r="AU56" i="67"/>
  <c r="AG61" i="66"/>
  <c r="AE57" i="66"/>
  <c r="AF57" i="66"/>
  <c r="C49" i="67"/>
  <c r="C50" i="67"/>
  <c r="B50" i="67" s="1"/>
  <c r="B51" i="67"/>
  <c r="O122" i="57"/>
  <c r="O121" i="57"/>
  <c r="AD36" i="67"/>
  <c r="AB34" i="67"/>
  <c r="AB35" i="67"/>
  <c r="AD35" i="67" s="1"/>
  <c r="AS56" i="67"/>
  <c r="BN246" i="57"/>
  <c r="BO246" i="57" s="1"/>
  <c r="BP246" i="57" s="1"/>
  <c r="BQ246" i="57" s="1"/>
  <c r="BR246" i="57" s="1"/>
  <c r="BS246" i="57" s="1"/>
  <c r="BT246" i="57" s="1"/>
  <c r="BU246" i="57" s="1"/>
  <c r="BV246" i="57" s="1"/>
  <c r="BW246" i="57" s="1"/>
  <c r="BX246" i="57" s="1"/>
  <c r="BY246" i="57" s="1"/>
  <c r="K33" i="57"/>
  <c r="V134" i="57"/>
  <c r="AI34" i="66"/>
  <c r="AK34" i="66"/>
  <c r="O78" i="57"/>
  <c r="AH34" i="66"/>
  <c r="O142" i="57"/>
  <c r="O143" i="57"/>
  <c r="AM169" i="31"/>
  <c r="AB246" i="30"/>
  <c r="AM64" i="28"/>
  <c r="AK188" i="31"/>
  <c r="AK196" i="31"/>
  <c r="AK198" i="31"/>
  <c r="AL172" i="31"/>
  <c r="AM174" i="30"/>
  <c r="AH268" i="30"/>
  <c r="AH304" i="31"/>
  <c r="AF189" i="29"/>
  <c r="CJ57" i="67"/>
  <c r="CJ39" i="67"/>
  <c r="AE100" i="28"/>
  <c r="AM166" i="30"/>
  <c r="AO106" i="28"/>
  <c r="AO75" i="28"/>
  <c r="CB38" i="67"/>
  <c r="AM72" i="66"/>
  <c r="AM93" i="28"/>
  <c r="AM91" i="29"/>
  <c r="AN91" i="29"/>
  <c r="AM72" i="28"/>
  <c r="AM87" i="29"/>
  <c r="AN87" i="29"/>
  <c r="AN85" i="29" s="1"/>
  <c r="AI376" i="30"/>
  <c r="AK46" i="28"/>
  <c r="AK69" i="29"/>
  <c r="AU35" i="67"/>
  <c r="CI54" i="67"/>
  <c r="CI36" i="67"/>
  <c r="CL30" i="67"/>
  <c r="CL48" i="67"/>
  <c r="AK47" i="28"/>
  <c r="AK70" i="29"/>
  <c r="AI377" i="30"/>
  <c r="AO54" i="67"/>
  <c r="AN78" i="28"/>
  <c r="AO94" i="29"/>
  <c r="AE118" i="29"/>
  <c r="AF171" i="29"/>
  <c r="AH66" i="28"/>
  <c r="AF64" i="28"/>
  <c r="AH64" i="28" s="1"/>
  <c r="CG30" i="67"/>
  <c r="CK30" i="67" s="1"/>
  <c r="CF30" i="67" s="1"/>
  <c r="AL601" i="31"/>
  <c r="AI773" i="30"/>
  <c r="AL29" i="28"/>
  <c r="AM29" i="28"/>
  <c r="AP77" i="28"/>
  <c r="AQ93" i="29"/>
  <c r="AN61" i="28"/>
  <c r="AH84" i="28"/>
  <c r="CL51" i="67"/>
  <c r="CL33" i="67"/>
  <c r="AI91" i="28"/>
  <c r="AI100" i="28" s="1"/>
  <c r="AI101" i="28" s="1"/>
  <c r="AH739" i="30"/>
  <c r="AH578" i="31"/>
  <c r="AK55" i="28"/>
  <c r="AB424" i="30"/>
  <c r="AK76" i="29"/>
  <c r="AI379" i="30"/>
  <c r="AK49" i="28"/>
  <c r="AK72" i="29"/>
  <c r="AI375" i="30"/>
  <c r="AK68" i="29"/>
  <c r="AK45" i="28"/>
  <c r="C414" i="78"/>
  <c r="G414" i="78" s="1"/>
  <c r="C334" i="78"/>
  <c r="G334" i="78" s="1"/>
  <c r="C239" i="78"/>
  <c r="G239" i="78" s="1"/>
  <c r="G145" i="78"/>
  <c r="C95" i="78"/>
  <c r="C8" i="78"/>
  <c r="G8" i="78" s="1"/>
  <c r="G443" i="78"/>
  <c r="AF32" i="66"/>
  <c r="C140" i="78"/>
  <c r="G230" i="78"/>
  <c r="AO81" i="29"/>
  <c r="AN60" i="28"/>
  <c r="C404" i="78"/>
  <c r="G404" i="78" s="1"/>
  <c r="C251" i="78"/>
  <c r="D251" i="78"/>
  <c r="G115" i="78"/>
  <c r="C35" i="78"/>
  <c r="G35" i="78" s="1"/>
  <c r="G92" i="78"/>
  <c r="G83" i="78"/>
  <c r="AH809" i="30"/>
  <c r="AH649" i="31"/>
  <c r="D238" i="78"/>
  <c r="AI36" i="67"/>
  <c r="AI54" i="67"/>
  <c r="G71" i="78"/>
  <c r="G61" i="78"/>
  <c r="D26" i="78"/>
  <c r="AH115" i="29"/>
  <c r="G87" i="78"/>
  <c r="G64" i="78"/>
  <c r="G52" i="78"/>
  <c r="AM97" i="28"/>
  <c r="AL97" i="28"/>
  <c r="AI302" i="31"/>
  <c r="AI266" i="30"/>
  <c r="AJ266" i="30" s="1"/>
  <c r="G5" i="78"/>
  <c r="AL170" i="31" l="1"/>
  <c r="CM33" i="67"/>
  <c r="AE101" i="28"/>
  <c r="CM32" i="67"/>
  <c r="CM51" i="67"/>
  <c r="CM48" i="67"/>
  <c r="CM30" i="67"/>
  <c r="AI90" i="28"/>
  <c r="AH97" i="29"/>
  <c r="C186" i="78"/>
  <c r="G186" i="78" s="1"/>
  <c r="AE114" i="29"/>
  <c r="AE113" i="29"/>
  <c r="AE116" i="29" s="1"/>
  <c r="C93" i="78"/>
  <c r="C206" i="78"/>
  <c r="G206" i="78" s="1"/>
  <c r="C309" i="78"/>
  <c r="C237" i="78"/>
  <c r="G237" i="78" s="1"/>
  <c r="C40" i="78"/>
  <c r="G40" i="78" s="1"/>
  <c r="D247" i="78"/>
  <c r="D249" i="78"/>
  <c r="D43" i="78"/>
  <c r="D45" i="78"/>
  <c r="G251" i="78"/>
  <c r="AP81" i="29"/>
  <c r="AO60" i="28"/>
  <c r="AK31" i="66"/>
  <c r="AN68" i="29"/>
  <c r="AM68" i="29"/>
  <c r="AO61" i="28"/>
  <c r="AV54" i="67"/>
  <c r="AU54" i="67" s="1"/>
  <c r="AV36" i="67"/>
  <c r="AU36" i="67" s="1"/>
  <c r="BB130" i="29"/>
  <c r="BB129" i="29" s="1"/>
  <c r="AF44" i="28"/>
  <c r="AG67" i="29"/>
  <c r="AG66" i="29" s="1"/>
  <c r="AJ34" i="66"/>
  <c r="AD34" i="67"/>
  <c r="AB33" i="67"/>
  <c r="AF61" i="66"/>
  <c r="AI57" i="66"/>
  <c r="AI61" i="66" s="1"/>
  <c r="AF191" i="29"/>
  <c r="BL52" i="67"/>
  <c r="CG52" i="67"/>
  <c r="CK52" i="67" s="1"/>
  <c r="CF52" i="67" s="1"/>
  <c r="AC34" i="68"/>
  <c r="B33" i="68"/>
  <c r="AE33" i="68"/>
  <c r="C201" i="78"/>
  <c r="G201" i="78" s="1"/>
  <c r="C283" i="78"/>
  <c r="D85" i="78"/>
  <c r="G85" i="78" s="1"/>
  <c r="C445" i="78"/>
  <c r="G445" i="78" s="1"/>
  <c r="AM73" i="29"/>
  <c r="AN73" i="29"/>
  <c r="AO88" i="29"/>
  <c r="AO85" i="29" s="1"/>
  <c r="AN72" i="28"/>
  <c r="AN64" i="28" s="1"/>
  <c r="AP93" i="28"/>
  <c r="AK65" i="66"/>
  <c r="AL65" i="66"/>
  <c r="AI88" i="29"/>
  <c r="AL88" i="29" s="1"/>
  <c r="AJ72" i="28"/>
  <c r="AL72" i="28" s="1"/>
  <c r="C60" i="67"/>
  <c r="B60" i="67" s="1"/>
  <c r="B59" i="67"/>
  <c r="AB52" i="67"/>
  <c r="AD54" i="67"/>
  <c r="AB53" i="67"/>
  <c r="AD53" i="67" s="1"/>
  <c r="AH55" i="67"/>
  <c r="AG55" i="67" s="1"/>
  <c r="AH37" i="67"/>
  <c r="AG37" i="67" s="1"/>
  <c r="AE257" i="31"/>
  <c r="AE254" i="30"/>
  <c r="AM81" i="66"/>
  <c r="AM74" i="66"/>
  <c r="AM76" i="66"/>
  <c r="AM70" i="66"/>
  <c r="AB382" i="30"/>
  <c r="AI373" i="30"/>
  <c r="AM42" i="28"/>
  <c r="AP62" i="28"/>
  <c r="AQ82" i="29"/>
  <c r="AT53" i="67"/>
  <c r="AT35" i="67"/>
  <c r="AG42" i="28"/>
  <c r="BA128" i="29"/>
  <c r="AF65" i="29"/>
  <c r="AH56" i="67"/>
  <c r="AH38" i="67"/>
  <c r="AE258" i="31"/>
  <c r="AE255" i="30"/>
  <c r="C191" i="78"/>
  <c r="G191" i="78" s="1"/>
  <c r="BM13" i="57"/>
  <c r="BQ13" i="57" s="1"/>
  <c r="BO13" i="57"/>
  <c r="C103" i="78"/>
  <c r="C307" i="78"/>
  <c r="D68" i="78"/>
  <c r="G68" i="78" s="1"/>
  <c r="CU40" i="68"/>
  <c r="CV40" i="68" s="1"/>
  <c r="D89" i="78"/>
  <c r="G89" i="78" s="1"/>
  <c r="AN75" i="29"/>
  <c r="AM75" i="29"/>
  <c r="AJ84" i="28"/>
  <c r="AB595" i="30"/>
  <c r="AB435" i="31"/>
  <c r="AI95" i="29"/>
  <c r="AH163" i="29"/>
  <c r="BL54" i="67"/>
  <c r="BJ56" i="67"/>
  <c r="CG55" i="67"/>
  <c r="CK55" i="67" s="1"/>
  <c r="CF55" i="67" s="1"/>
  <c r="BL55" i="67"/>
  <c r="C124" i="57"/>
  <c r="C125" i="57" s="1"/>
  <c r="D123" i="57"/>
  <c r="AH53" i="67"/>
  <c r="AG53" i="67" s="1"/>
  <c r="AH35" i="67"/>
  <c r="AG35" i="67" s="1"/>
  <c r="AE253" i="30"/>
  <c r="AE256" i="31"/>
  <c r="C129" i="78"/>
  <c r="D390" i="78"/>
  <c r="G390" i="78" s="1"/>
  <c r="AN76" i="29"/>
  <c r="AM76" i="29"/>
  <c r="AO78" i="28"/>
  <c r="AP94" i="29"/>
  <c r="AI902" i="30"/>
  <c r="AI742" i="31"/>
  <c r="AK72" i="66"/>
  <c r="AL72" i="66"/>
  <c r="AP106" i="28"/>
  <c r="AB430" i="31"/>
  <c r="AB590" i="30"/>
  <c r="AH57" i="66"/>
  <c r="AH61" i="66" s="1"/>
  <c r="AE61" i="66"/>
  <c r="AB60" i="67"/>
  <c r="AD60" i="67" s="1"/>
  <c r="AD59" i="67"/>
  <c r="AB453" i="31"/>
  <c r="AB451" i="31"/>
  <c r="AB613" i="30"/>
  <c r="AI91" i="29"/>
  <c r="AL91" i="29" s="1"/>
  <c r="AJ76" i="28"/>
  <c r="AL76" i="28" s="1"/>
  <c r="AB454" i="31"/>
  <c r="AB614" i="30"/>
  <c r="AB611" i="30"/>
  <c r="BJ38" i="67"/>
  <c r="BI56" i="67"/>
  <c r="AF53" i="29"/>
  <c r="AI30" i="28"/>
  <c r="AE61" i="16"/>
  <c r="D48" i="78"/>
  <c r="AK886" i="30"/>
  <c r="AK726" i="31"/>
  <c r="C280" i="78"/>
  <c r="C232" i="78"/>
  <c r="G232" i="78" s="1"/>
  <c r="AM48" i="28"/>
  <c r="AL48" i="28"/>
  <c r="AM51" i="28"/>
  <c r="AB552" i="31"/>
  <c r="AB713" i="30"/>
  <c r="AJ38" i="29"/>
  <c r="AT54" i="67"/>
  <c r="AS54" i="67" s="1"/>
  <c r="AT36" i="67"/>
  <c r="AS36" i="67" s="1"/>
  <c r="BB128" i="29"/>
  <c r="BB127" i="29" s="1"/>
  <c r="AF42" i="28"/>
  <c r="AG65" i="29"/>
  <c r="AG64" i="29" s="1"/>
  <c r="BF53" i="67"/>
  <c r="BF35" i="67"/>
  <c r="BA140" i="29"/>
  <c r="BC140" i="29" s="1"/>
  <c r="AG56" i="28"/>
  <c r="AF77" i="29"/>
  <c r="D138" i="57"/>
  <c r="C139" i="57"/>
  <c r="C140" i="57" s="1"/>
  <c r="C141" i="57" s="1"/>
  <c r="B34" i="67"/>
  <c r="C33" i="67"/>
  <c r="B42" i="68"/>
  <c r="AC43" i="68"/>
  <c r="AE42" i="68"/>
  <c r="AM84" i="29"/>
  <c r="AL84" i="29"/>
  <c r="AN84" i="29"/>
  <c r="AH52" i="67"/>
  <c r="AG52" i="67" s="1"/>
  <c r="AH34" i="67"/>
  <c r="AG34" i="67" s="1"/>
  <c r="AE255" i="31"/>
  <c r="AE252" i="30"/>
  <c r="AJ236" i="30"/>
  <c r="AJ268" i="31"/>
  <c r="C196" i="78"/>
  <c r="G196" i="78" s="1"/>
  <c r="AH259" i="31"/>
  <c r="AH256" i="30"/>
  <c r="D144" i="78"/>
  <c r="G144" i="78" s="1"/>
  <c r="D140" i="78"/>
  <c r="G140" i="78" s="1"/>
  <c r="AK43" i="28"/>
  <c r="AK41" i="28" s="1"/>
  <c r="AM44" i="28"/>
  <c r="AH35" i="28"/>
  <c r="BQ58" i="67"/>
  <c r="BQ40" i="67"/>
  <c r="CM47" i="67"/>
  <c r="AI456" i="30"/>
  <c r="AK77" i="29"/>
  <c r="AB460" i="30"/>
  <c r="AK56" i="28"/>
  <c r="AL600" i="31"/>
  <c r="AJ66" i="28"/>
  <c r="AI87" i="29"/>
  <c r="C98" i="78"/>
  <c r="AK302" i="31"/>
  <c r="AK266" i="30"/>
  <c r="C312" i="78"/>
  <c r="AN72" i="29"/>
  <c r="AM72" i="29"/>
  <c r="AR93" i="29"/>
  <c r="AQ77" i="28"/>
  <c r="AN70" i="29"/>
  <c r="AM70" i="29"/>
  <c r="AM69" i="29"/>
  <c r="AN69" i="29"/>
  <c r="AE111" i="28"/>
  <c r="AE90" i="28"/>
  <c r="B49" i="67"/>
  <c r="C46" i="67"/>
  <c r="AB42" i="67"/>
  <c r="AD42" i="67" s="1"/>
  <c r="AD41" i="67"/>
  <c r="AG169" i="29"/>
  <c r="AF85" i="29"/>
  <c r="AG167" i="29" s="1"/>
  <c r="AH810" i="30"/>
  <c r="AH650" i="31"/>
  <c r="AF163" i="29"/>
  <c r="AF179" i="29" s="1"/>
  <c r="AE98" i="29"/>
  <c r="AE107" i="29" s="1"/>
  <c r="AE97" i="29" s="1"/>
  <c r="AH36" i="67"/>
  <c r="AG36" i="67" s="1"/>
  <c r="AH54" i="67"/>
  <c r="AG54" i="67" s="1"/>
  <c r="AH32" i="67"/>
  <c r="AG32" i="67" s="1"/>
  <c r="AH50" i="67"/>
  <c r="AG50" i="67" s="1"/>
  <c r="AE251" i="30"/>
  <c r="AE254" i="31"/>
  <c r="C204" i="78"/>
  <c r="C221" i="78"/>
  <c r="G221" i="78" s="1"/>
  <c r="C181" i="78"/>
  <c r="G181" i="78" s="1"/>
  <c r="D310" i="78"/>
  <c r="G310" i="78" s="1"/>
  <c r="C164" i="78"/>
  <c r="C67" i="78"/>
  <c r="G67" i="78" s="1"/>
  <c r="AN71" i="29"/>
  <c r="AM71" i="29"/>
  <c r="AL71" i="29"/>
  <c r="C451" i="78"/>
  <c r="G451" i="78" s="1"/>
  <c r="AN62" i="29"/>
  <c r="AM62" i="29"/>
  <c r="AM50" i="28"/>
  <c r="AP92" i="28"/>
  <c r="BV39" i="67"/>
  <c r="BV57" i="67"/>
  <c r="AO109" i="28"/>
  <c r="AP108" i="28"/>
  <c r="AM34" i="66"/>
  <c r="C343" i="78"/>
  <c r="AK308" i="31"/>
  <c r="AK272" i="30"/>
  <c r="AE110" i="28"/>
  <c r="C447" i="78"/>
  <c r="G447" i="78" s="1"/>
  <c r="AL60" i="28"/>
  <c r="AH831" i="30"/>
  <c r="AH671" i="31"/>
  <c r="AI38" i="29"/>
  <c r="AH808" i="30"/>
  <c r="AH648" i="31"/>
  <c r="C211" i="78"/>
  <c r="G211" i="78" s="1"/>
  <c r="C171" i="78"/>
  <c r="G171" i="78" s="1"/>
  <c r="C170" i="78"/>
  <c r="G170" i="78" s="1"/>
  <c r="AG80" i="66"/>
  <c r="AG76" i="66"/>
  <c r="AG72" i="66"/>
  <c r="AG65" i="66"/>
  <c r="AG71" i="66"/>
  <c r="AG74" i="66"/>
  <c r="AG70" i="66"/>
  <c r="AG66" i="66" s="1"/>
  <c r="AJ66" i="66" s="1"/>
  <c r="AG67" i="66"/>
  <c r="AG69" i="66"/>
  <c r="AG81" i="66"/>
  <c r="AG73" i="66"/>
  <c r="AG75" i="66"/>
  <c r="C134" i="78"/>
  <c r="C91" i="78"/>
  <c r="AM52" i="28"/>
  <c r="AM33" i="28"/>
  <c r="AQ96" i="29"/>
  <c r="AB564" i="31"/>
  <c r="AI106" i="29"/>
  <c r="AB725" i="30"/>
  <c r="AL760" i="30"/>
  <c r="BL36" i="67"/>
  <c r="AG63" i="66"/>
  <c r="C41" i="67"/>
  <c r="B40" i="67"/>
  <c r="AF30" i="66"/>
  <c r="AI32" i="66"/>
  <c r="AI30" i="66" s="1"/>
  <c r="C166" i="78"/>
  <c r="G166" i="78" s="1"/>
  <c r="C159" i="78"/>
  <c r="D271" i="78"/>
  <c r="G271" i="78" s="1"/>
  <c r="C333" i="78"/>
  <c r="AK79" i="29"/>
  <c r="AK57" i="28"/>
  <c r="AI472" i="30"/>
  <c r="CU39" i="68"/>
  <c r="AM45" i="28"/>
  <c r="AM49" i="28"/>
  <c r="AM55" i="28"/>
  <c r="AM47" i="28"/>
  <c r="AM46" i="28"/>
  <c r="CB57" i="67"/>
  <c r="CB39" i="67"/>
  <c r="AP75" i="28"/>
  <c r="CJ58" i="67"/>
  <c r="CJ40" i="67"/>
  <c r="AF194" i="29"/>
  <c r="AC193" i="29" s="1"/>
  <c r="BZ246" i="57"/>
  <c r="BJ246" i="57" s="1"/>
  <c r="BL246" i="57" s="1"/>
  <c r="AJ205" i="30"/>
  <c r="AJ203" i="31"/>
  <c r="AJ764" i="30"/>
  <c r="AB576" i="30"/>
  <c r="BL34" i="67"/>
  <c r="CG34" i="67"/>
  <c r="CK34" i="67" s="1"/>
  <c r="CF34" i="67" s="1"/>
  <c r="C278" i="78"/>
  <c r="D281" i="78"/>
  <c r="G281" i="78" s="1"/>
  <c r="C41" i="78"/>
  <c r="G41" i="78" s="1"/>
  <c r="AH32" i="66"/>
  <c r="AH30" i="66" s="1"/>
  <c r="AE30" i="66"/>
  <c r="AK306" i="31"/>
  <c r="AK270" i="30"/>
  <c r="AI103" i="28"/>
  <c r="D55" i="78"/>
  <c r="G55" i="78" s="1"/>
  <c r="AF104" i="28"/>
  <c r="AH104" i="28" s="1"/>
  <c r="AN74" i="29"/>
  <c r="AM74" i="29"/>
  <c r="AL54" i="28"/>
  <c r="AM54" i="28"/>
  <c r="AM37" i="28"/>
  <c r="BM58" i="67"/>
  <c r="BM40" i="67"/>
  <c r="CE58" i="67"/>
  <c r="CE40" i="67"/>
  <c r="BC124" i="29"/>
  <c r="BC123" i="29" s="1"/>
  <c r="BA123" i="29"/>
  <c r="CD35" i="67"/>
  <c r="CD53" i="67"/>
  <c r="AG84" i="28"/>
  <c r="AF95" i="29"/>
  <c r="AK63" i="28"/>
  <c r="AB385" i="31"/>
  <c r="AB545" i="30"/>
  <c r="AK83" i="29"/>
  <c r="AH49" i="67"/>
  <c r="AG49" i="67" s="1"/>
  <c r="AH31" i="67"/>
  <c r="AG31" i="67" s="1"/>
  <c r="AE253" i="31"/>
  <c r="AE250" i="30"/>
  <c r="C216" i="78"/>
  <c r="G216" i="78" s="1"/>
  <c r="C176" i="78"/>
  <c r="G176" i="78" s="1"/>
  <c r="C175" i="78"/>
  <c r="G175" i="78" s="1"/>
  <c r="AJ239" i="30"/>
  <c r="AJ271" i="31"/>
  <c r="AG114" i="29"/>
  <c r="D300" i="78"/>
  <c r="G300" i="78" s="1"/>
  <c r="D77" i="78"/>
  <c r="G77" i="78" s="1"/>
  <c r="C437" i="78"/>
  <c r="D437" i="78"/>
  <c r="C441" i="78"/>
  <c r="G441" i="78" s="1"/>
  <c r="AN67" i="29"/>
  <c r="AK66" i="29"/>
  <c r="AK64" i="29" s="1"/>
  <c r="AM67" i="29"/>
  <c r="AN65" i="29"/>
  <c r="AM65" i="29"/>
  <c r="AP87" i="29"/>
  <c r="AO66" i="28"/>
  <c r="CC58" i="67"/>
  <c r="CC40" i="67"/>
  <c r="AJ240" i="30"/>
  <c r="AJ272" i="31"/>
  <c r="D76" i="78"/>
  <c r="G76" i="78" s="1"/>
  <c r="AL31" i="66"/>
  <c r="AQ86" i="29"/>
  <c r="AP65" i="28"/>
  <c r="AN84" i="28"/>
  <c r="AO95" i="29"/>
  <c r="BO57" i="67"/>
  <c r="BO39" i="67"/>
  <c r="AL81" i="29"/>
  <c r="AQ91" i="29"/>
  <c r="AP76" i="28"/>
  <c r="AH60" i="28"/>
  <c r="CG37" i="67"/>
  <c r="CK37" i="67" s="1"/>
  <c r="CF37" i="67" s="1"/>
  <c r="BL37" i="67"/>
  <c r="D69" i="78"/>
  <c r="G69" i="78" s="1"/>
  <c r="AN66" i="29" l="1"/>
  <c r="AI255" i="30"/>
  <c r="AI258" i="31"/>
  <c r="AB241" i="30"/>
  <c r="AM41" i="28"/>
  <c r="AQ87" i="29"/>
  <c r="AP66" i="28"/>
  <c r="CE59" i="67"/>
  <c r="CE41" i="67"/>
  <c r="BO40" i="67"/>
  <c r="BO58" i="67"/>
  <c r="C10" i="78"/>
  <c r="G10" i="78" s="1"/>
  <c r="C90" i="78"/>
  <c r="C302" i="78"/>
  <c r="G437" i="78"/>
  <c r="C378" i="78"/>
  <c r="AI104" i="28"/>
  <c r="CJ59" i="67"/>
  <c r="CJ41" i="67"/>
  <c r="AQ75" i="28"/>
  <c r="CU30" i="68"/>
  <c r="AK309" i="31"/>
  <c r="AK273" i="30"/>
  <c r="AN79" i="29"/>
  <c r="AM79" i="29"/>
  <c r="AJ30" i="66"/>
  <c r="AJ73" i="66"/>
  <c r="AF73" i="66"/>
  <c r="AI73" i="66" s="1"/>
  <c r="AE73" i="66"/>
  <c r="AH73" i="66" s="1"/>
  <c r="AE70" i="66"/>
  <c r="AH70" i="66" s="1"/>
  <c r="AJ70" i="66"/>
  <c r="AF70" i="66"/>
  <c r="AI70" i="66" s="1"/>
  <c r="AJ72" i="66"/>
  <c r="AF72" i="66"/>
  <c r="AI72" i="66" s="1"/>
  <c r="AE72" i="66"/>
  <c r="AH72" i="66" s="1"/>
  <c r="D278" i="78"/>
  <c r="AH156" i="29"/>
  <c r="D159" i="78"/>
  <c r="G159" i="78" s="1"/>
  <c r="D155" i="78"/>
  <c r="AB409" i="31"/>
  <c r="AB569" i="30"/>
  <c r="AM77" i="29"/>
  <c r="AN77" i="29"/>
  <c r="D307" i="78"/>
  <c r="BQ59" i="67"/>
  <c r="BQ41" i="67"/>
  <c r="D50" i="78"/>
  <c r="AH113" i="29"/>
  <c r="AH116" i="29" s="1"/>
  <c r="C273" i="78"/>
  <c r="BJ57" i="67"/>
  <c r="BJ39" i="67"/>
  <c r="AQ106" i="28"/>
  <c r="AI256" i="31"/>
  <c r="AI253" i="30"/>
  <c r="BL56" i="67"/>
  <c r="CG56" i="67"/>
  <c r="CK56" i="67" s="1"/>
  <c r="CF56" i="67" s="1"/>
  <c r="AL95" i="29"/>
  <c r="C367" i="78"/>
  <c r="C190" i="78"/>
  <c r="G190" i="78" s="1"/>
  <c r="C20" i="78"/>
  <c r="G20" i="78" s="1"/>
  <c r="C44" i="78"/>
  <c r="G44" i="78" s="1"/>
  <c r="AH39" i="67"/>
  <c r="BC128" i="29"/>
  <c r="BC127" i="29" s="1"/>
  <c r="BA127" i="29"/>
  <c r="AQ62" i="28"/>
  <c r="AR82" i="29"/>
  <c r="D74" i="78"/>
  <c r="G74" i="78" s="1"/>
  <c r="D227" i="78"/>
  <c r="G227" i="78" s="1"/>
  <c r="AL70" i="66"/>
  <c r="AK70" i="66"/>
  <c r="AD52" i="67"/>
  <c r="AB51" i="67"/>
  <c r="D164" i="78"/>
  <c r="G164" i="78" s="1"/>
  <c r="D160" i="78"/>
  <c r="C200" i="78"/>
  <c r="C37" i="78"/>
  <c r="G37" i="78" s="1"/>
  <c r="D98" i="78"/>
  <c r="G98" i="78" s="1"/>
  <c r="AR86" i="29"/>
  <c r="AQ65" i="28"/>
  <c r="C299" i="78"/>
  <c r="C238" i="78"/>
  <c r="G238" i="78" s="1"/>
  <c r="AM64" i="29"/>
  <c r="AM66" i="29"/>
  <c r="D343" i="78"/>
  <c r="D339" i="78"/>
  <c r="AI253" i="31"/>
  <c r="AI250" i="30"/>
  <c r="AM63" i="28"/>
  <c r="AI105" i="28"/>
  <c r="AL32" i="66"/>
  <c r="G278" i="78"/>
  <c r="C373" i="78"/>
  <c r="AG30" i="66"/>
  <c r="CL55" i="67"/>
  <c r="CM55" i="67" s="1"/>
  <c r="CL37" i="67"/>
  <c r="CM37" i="67" s="1"/>
  <c r="D103" i="78"/>
  <c r="AJ81" i="66"/>
  <c r="AF81" i="66"/>
  <c r="AI81" i="66" s="1"/>
  <c r="AE81" i="66"/>
  <c r="AH81" i="66" s="1"/>
  <c r="AE74" i="66"/>
  <c r="AH74" i="66" s="1"/>
  <c r="AJ74" i="66"/>
  <c r="AF74" i="66"/>
  <c r="AI74" i="66" s="1"/>
  <c r="AJ76" i="66"/>
  <c r="AF76" i="66"/>
  <c r="AI76" i="66" s="1"/>
  <c r="AE76" i="66"/>
  <c r="AH76" i="66" s="1"/>
  <c r="AH807" i="30"/>
  <c r="AH647" i="31"/>
  <c r="AH670" i="31"/>
  <c r="AH830" i="30"/>
  <c r="C435" i="78"/>
  <c r="D435" i="78"/>
  <c r="AK271" i="30"/>
  <c r="AK307" i="31"/>
  <c r="C339" i="78"/>
  <c r="C240" i="78"/>
  <c r="G240" i="78" s="1"/>
  <c r="AP109" i="28"/>
  <c r="AQ108" i="28"/>
  <c r="AQ109" i="28" s="1"/>
  <c r="C439" i="78"/>
  <c r="AK304" i="31"/>
  <c r="AK268" i="30"/>
  <c r="BR38" i="67"/>
  <c r="AB477" i="30"/>
  <c r="D276" i="78"/>
  <c r="G276" i="78" s="1"/>
  <c r="D275" i="78"/>
  <c r="G275" i="78" s="1"/>
  <c r="C31" i="67"/>
  <c r="C32" i="67"/>
  <c r="B32" i="67" s="1"/>
  <c r="B33" i="67"/>
  <c r="AH42" i="28"/>
  <c r="C270" i="78"/>
  <c r="C233" i="78"/>
  <c r="G233" i="78" s="1"/>
  <c r="BZ38" i="67"/>
  <c r="AQ94" i="29"/>
  <c r="AP78" i="28"/>
  <c r="C11" i="78"/>
  <c r="G11" i="78" s="1"/>
  <c r="C125" i="78"/>
  <c r="C42" i="78"/>
  <c r="G42" i="78" s="1"/>
  <c r="D134" i="78"/>
  <c r="G134" i="78" s="1"/>
  <c r="D130" i="78"/>
  <c r="AH57" i="67"/>
  <c r="AG41" i="28"/>
  <c r="AJ876" i="30"/>
  <c r="AB835" i="30"/>
  <c r="AJ716" i="31"/>
  <c r="AB675" i="31"/>
  <c r="AK104" i="29"/>
  <c r="C81" i="78"/>
  <c r="AK76" i="66"/>
  <c r="AL76" i="66"/>
  <c r="B34" i="68"/>
  <c r="AE34" i="68"/>
  <c r="AD33" i="67"/>
  <c r="AB32" i="67"/>
  <c r="AD32" i="67" s="1"/>
  <c r="AB31" i="67"/>
  <c r="AF43" i="28"/>
  <c r="AH43" i="28" s="1"/>
  <c r="AH44" i="28"/>
  <c r="AQ81" i="29"/>
  <c r="AP60" i="28"/>
  <c r="C124" i="78"/>
  <c r="D93" i="78"/>
  <c r="G93" i="78" s="1"/>
  <c r="C205" i="78"/>
  <c r="AQ76" i="28"/>
  <c r="AR91" i="29"/>
  <c r="AO92" i="29"/>
  <c r="AO84" i="28"/>
  <c r="AP95" i="29"/>
  <c r="D84" i="78"/>
  <c r="G84" i="78" s="1"/>
  <c r="D229" i="78"/>
  <c r="G229" i="78" s="1"/>
  <c r="CC59" i="67"/>
  <c r="CC41" i="67"/>
  <c r="AN64" i="29"/>
  <c r="D101" i="78"/>
  <c r="G101" i="78" s="1"/>
  <c r="D100" i="78"/>
  <c r="G100" i="78" s="1"/>
  <c r="AN83" i="29"/>
  <c r="AM83" i="29"/>
  <c r="AG177" i="29"/>
  <c r="BM59" i="67"/>
  <c r="BM41" i="67"/>
  <c r="CB58" i="67"/>
  <c r="CB40" i="67"/>
  <c r="C372" i="78"/>
  <c r="D333" i="78"/>
  <c r="G333" i="78" s="1"/>
  <c r="D329" i="78"/>
  <c r="C42" i="67"/>
  <c r="B42" i="67" s="1"/>
  <c r="B41" i="67"/>
  <c r="AR96" i="29"/>
  <c r="C12" i="78"/>
  <c r="G12" i="78" s="1"/>
  <c r="C130" i="78"/>
  <c r="AJ69" i="66"/>
  <c r="AF69" i="66"/>
  <c r="AI69" i="66" s="1"/>
  <c r="AE69" i="66"/>
  <c r="AH69" i="66" s="1"/>
  <c r="AJ71" i="66"/>
  <c r="AF71" i="66"/>
  <c r="AI71" i="66" s="1"/>
  <c r="AE71" i="66"/>
  <c r="AH71" i="66" s="1"/>
  <c r="AJ80" i="66"/>
  <c r="AF80" i="66"/>
  <c r="AG79" i="66"/>
  <c r="AJ79" i="66" s="1"/>
  <c r="AE80" i="66"/>
  <c r="D209" i="78"/>
  <c r="G209" i="78" s="1"/>
  <c r="D205" i="78"/>
  <c r="G343" i="78"/>
  <c r="AQ92" i="28"/>
  <c r="D81" i="78"/>
  <c r="AK888" i="30"/>
  <c r="AM888" i="30" s="1"/>
  <c r="AK728" i="31"/>
  <c r="AM728" i="31" s="1"/>
  <c r="C160" i="78"/>
  <c r="G160" i="78" s="1"/>
  <c r="C17" i="78"/>
  <c r="G17" i="78" s="1"/>
  <c r="AG259" i="31"/>
  <c r="AG256" i="30"/>
  <c r="C47" i="67"/>
  <c r="B46" i="67"/>
  <c r="AI85" i="29"/>
  <c r="AL85" i="29" s="1"/>
  <c r="AL87" i="29"/>
  <c r="AM56" i="28"/>
  <c r="C154" i="78"/>
  <c r="AJ38" i="67"/>
  <c r="AJ39" i="67" s="1"/>
  <c r="AJ40" i="67" s="1"/>
  <c r="AJ41" i="67" s="1"/>
  <c r="AJ42" i="67" s="1"/>
  <c r="AJ56" i="67"/>
  <c r="AJ57" i="67" s="1"/>
  <c r="AJ58" i="67" s="1"/>
  <c r="AJ59" i="67" s="1"/>
  <c r="AJ60" i="67" s="1"/>
  <c r="AG258" i="31"/>
  <c r="AG255" i="30"/>
  <c r="G307" i="78"/>
  <c r="AS35" i="67"/>
  <c r="AL74" i="66"/>
  <c r="AK74" i="66"/>
  <c r="AO84" i="29"/>
  <c r="AQ93" i="28"/>
  <c r="AK267" i="30"/>
  <c r="AK303" i="31"/>
  <c r="AH811" i="30"/>
  <c r="AH651" i="31"/>
  <c r="BK35" i="67"/>
  <c r="BJ53" i="67"/>
  <c r="BJ35" i="67"/>
  <c r="AJ760" i="30"/>
  <c r="AG60" i="28"/>
  <c r="AJ600" i="31"/>
  <c r="AF81" i="29"/>
  <c r="D305" i="78"/>
  <c r="G305" i="78" s="1"/>
  <c r="D304" i="78"/>
  <c r="G304" i="78" s="1"/>
  <c r="D96" i="78"/>
  <c r="G96" i="78" s="1"/>
  <c r="D95" i="78"/>
  <c r="G95" i="78" s="1"/>
  <c r="AH108" i="29"/>
  <c r="AM57" i="28"/>
  <c r="C329" i="78"/>
  <c r="G329" i="78" s="1"/>
  <c r="C241" i="78"/>
  <c r="G241" i="78" s="1"/>
  <c r="D129" i="78"/>
  <c r="G129" i="78" s="1"/>
  <c r="D125" i="78"/>
  <c r="C155" i="78"/>
  <c r="G155" i="78" s="1"/>
  <c r="C16" i="78"/>
  <c r="G16" i="78" s="1"/>
  <c r="C165" i="78"/>
  <c r="G165" i="78" s="1"/>
  <c r="C22" i="78"/>
  <c r="D22" i="78"/>
  <c r="C46" i="78"/>
  <c r="G46" i="78" s="1"/>
  <c r="AJ63" i="66"/>
  <c r="AF63" i="66"/>
  <c r="AE63" i="66"/>
  <c r="AJ75" i="66"/>
  <c r="AF75" i="66"/>
  <c r="AI75" i="66" s="1"/>
  <c r="AE75" i="66"/>
  <c r="AH75" i="66" s="1"/>
  <c r="AE67" i="66"/>
  <c r="AH67" i="66" s="1"/>
  <c r="AJ67" i="66"/>
  <c r="AF67" i="66"/>
  <c r="AI67" i="66" s="1"/>
  <c r="AE65" i="66"/>
  <c r="AH65" i="66" s="1"/>
  <c r="AF65" i="66"/>
  <c r="AI65" i="66" s="1"/>
  <c r="AJ65" i="66"/>
  <c r="BV58" i="67"/>
  <c r="BV40" i="67"/>
  <c r="C180" i="78"/>
  <c r="G180" i="78" s="1"/>
  <c r="C21" i="78"/>
  <c r="G21" i="78" s="1"/>
  <c r="C45" i="78"/>
  <c r="G45" i="78" s="1"/>
  <c r="AG156" i="29"/>
  <c r="AI254" i="31"/>
  <c r="AI251" i="30"/>
  <c r="AJ64" i="28"/>
  <c r="AL64" i="28" s="1"/>
  <c r="AL66" i="28"/>
  <c r="AM43" i="28"/>
  <c r="AI255" i="31"/>
  <c r="AI252" i="30"/>
  <c r="B43" i="68"/>
  <c r="AE43" i="68"/>
  <c r="D141" i="57"/>
  <c r="C142" i="57"/>
  <c r="BL38" i="67"/>
  <c r="AI163" i="29"/>
  <c r="CD38" i="67"/>
  <c r="AM80" i="66"/>
  <c r="AM71" i="66"/>
  <c r="AL84" i="28"/>
  <c r="C368" i="78"/>
  <c r="G103" i="78"/>
  <c r="AF64" i="29"/>
  <c r="AS53" i="67"/>
  <c r="D139" i="78"/>
  <c r="G139" i="78" s="1"/>
  <c r="D135" i="78"/>
  <c r="G135" i="78" s="1"/>
  <c r="AL81" i="66"/>
  <c r="AK81" i="66"/>
  <c r="AB248" i="31"/>
  <c r="AI257" i="31"/>
  <c r="AI254" i="30"/>
  <c r="AB243" i="30"/>
  <c r="AB242" i="30"/>
  <c r="AB724" i="30"/>
  <c r="AI103" i="29"/>
  <c r="AB563" i="31"/>
  <c r="BS38" i="67"/>
  <c r="AP88" i="29"/>
  <c r="AP85" i="29" s="1"/>
  <c r="AO72" i="28"/>
  <c r="AO64" i="28" s="1"/>
  <c r="CR38" i="68"/>
  <c r="CT38" i="68" s="1"/>
  <c r="CV38" i="68" s="1"/>
  <c r="AG88" i="66"/>
  <c r="CL52" i="67"/>
  <c r="CM52" i="67" s="1"/>
  <c r="CL34" i="67"/>
  <c r="CM34" i="67" s="1"/>
  <c r="AK98" i="28"/>
  <c r="AJ98" i="28"/>
  <c r="AJ99" i="28" s="1"/>
  <c r="AP61" i="28"/>
  <c r="AK32" i="66"/>
  <c r="C185" i="78"/>
  <c r="G185" i="78" s="1"/>
  <c r="C19" i="78"/>
  <c r="G19" i="78" s="1"/>
  <c r="C43" i="78"/>
  <c r="G43" i="78" s="1"/>
  <c r="G339" i="78" l="1"/>
  <c r="G22" i="78"/>
  <c r="G130" i="78"/>
  <c r="AJ88" i="66"/>
  <c r="AF88" i="66"/>
  <c r="AE88" i="66"/>
  <c r="AK99" i="28"/>
  <c r="AL98" i="28"/>
  <c r="AM98" i="28"/>
  <c r="BS57" i="67"/>
  <c r="BS39" i="67"/>
  <c r="AL71" i="66"/>
  <c r="AK71" i="66"/>
  <c r="C143" i="57"/>
  <c r="D142" i="57"/>
  <c r="AE30" i="28"/>
  <c r="AD56" i="16"/>
  <c r="AE56" i="16"/>
  <c r="AE53" i="16" s="1"/>
  <c r="BV59" i="67"/>
  <c r="BV41" i="67"/>
  <c r="AF66" i="66"/>
  <c r="AI66" i="66" s="1"/>
  <c r="AI63" i="66"/>
  <c r="D372" i="78"/>
  <c r="AE259" i="31"/>
  <c r="AE256" i="30"/>
  <c r="AN63" i="28"/>
  <c r="AO83" i="29"/>
  <c r="C150" i="78"/>
  <c r="C18" i="78"/>
  <c r="G18" i="78" s="1"/>
  <c r="D283" i="78"/>
  <c r="G283" i="78" s="1"/>
  <c r="D280" i="78"/>
  <c r="G280" i="78" s="1"/>
  <c r="AI80" i="66"/>
  <c r="AI79" i="66" s="1"/>
  <c r="AF79" i="66"/>
  <c r="C369" i="78"/>
  <c r="C245" i="78"/>
  <c r="G245" i="78" s="1"/>
  <c r="AQ95" i="29"/>
  <c r="AP84" i="28"/>
  <c r="AP92" i="29"/>
  <c r="G81" i="78"/>
  <c r="AG56" i="67"/>
  <c r="C362" i="78"/>
  <c r="D80" i="78"/>
  <c r="G80" i="78" s="1"/>
  <c r="D228" i="78"/>
  <c r="G228" i="78" s="1"/>
  <c r="G125" i="78"/>
  <c r="AI272" i="30"/>
  <c r="AJ272" i="30" s="1"/>
  <c r="AI308" i="31"/>
  <c r="AF41" i="28"/>
  <c r="AH41" i="28" s="1"/>
  <c r="BP38" i="67"/>
  <c r="AG78" i="66"/>
  <c r="AG90" i="66" s="1"/>
  <c r="AG77" i="66"/>
  <c r="AI886" i="30"/>
  <c r="AJ886" i="30" s="1"/>
  <c r="AI726" i="31"/>
  <c r="AJ726" i="31" s="1"/>
  <c r="BJ58" i="67"/>
  <c r="BJ40" i="67"/>
  <c r="CL49" i="67"/>
  <c r="CM49" i="67" s="1"/>
  <c r="CL31" i="67"/>
  <c r="CM31" i="67" s="1"/>
  <c r="C308" i="78"/>
  <c r="AJ104" i="28"/>
  <c r="AN104" i="28" s="1"/>
  <c r="AO104" i="28" s="1"/>
  <c r="AP104" i="28" s="1"/>
  <c r="AQ104" i="28" s="1"/>
  <c r="AQ66" i="28"/>
  <c r="AR87" i="29"/>
  <c r="AQ61" i="28"/>
  <c r="D367" i="78"/>
  <c r="G367" i="78" s="1"/>
  <c r="C363" i="78"/>
  <c r="CD39" i="67"/>
  <c r="CD57" i="67"/>
  <c r="AK80" i="66"/>
  <c r="AK79" i="66" s="1"/>
  <c r="AM79" i="66"/>
  <c r="AL80" i="66"/>
  <c r="AL79" i="66" s="1"/>
  <c r="D104" i="78"/>
  <c r="D154" i="78"/>
  <c r="G154" i="78" s="1"/>
  <c r="D150" i="78"/>
  <c r="AH782" i="30"/>
  <c r="AH622" i="31"/>
  <c r="AI305" i="31"/>
  <c r="AI269" i="30"/>
  <c r="AJ269" i="30" s="1"/>
  <c r="AJ871" i="30"/>
  <c r="AJ711" i="31"/>
  <c r="AK100" i="29"/>
  <c r="AI271" i="30"/>
  <c r="AJ271" i="30" s="1"/>
  <c r="AI307" i="31"/>
  <c r="AG163" i="29"/>
  <c r="BL35" i="67"/>
  <c r="C279" i="78"/>
  <c r="AP84" i="29"/>
  <c r="D308" i="78"/>
  <c r="G372" i="78"/>
  <c r="CB59" i="67"/>
  <c r="CB41" i="67"/>
  <c r="BM42" i="67"/>
  <c r="BM60" i="67"/>
  <c r="C313" i="78"/>
  <c r="D312" i="78"/>
  <c r="G312" i="78" s="1"/>
  <c r="D309" i="78"/>
  <c r="G309" i="78" s="1"/>
  <c r="C99" i="78"/>
  <c r="AM104" i="29"/>
  <c r="AN104" i="29"/>
  <c r="AG57" i="67"/>
  <c r="AH58" i="67"/>
  <c r="AM32" i="66"/>
  <c r="BZ57" i="67"/>
  <c r="BZ39" i="67"/>
  <c r="AI306" i="31"/>
  <c r="AI270" i="30"/>
  <c r="AJ270" i="30" s="1"/>
  <c r="D378" i="78"/>
  <c r="D374" i="78"/>
  <c r="D439" i="78"/>
  <c r="AF77" i="66"/>
  <c r="AI110" i="28"/>
  <c r="AI111" i="28"/>
  <c r="D313" i="78"/>
  <c r="AI887" i="30"/>
  <c r="AI727" i="31"/>
  <c r="AG38" i="67"/>
  <c r="D66" i="78"/>
  <c r="G66" i="78" s="1"/>
  <c r="D225" i="78"/>
  <c r="G225" i="78" s="1"/>
  <c r="C374" i="78"/>
  <c r="G374" i="78" s="1"/>
  <c r="C250" i="78"/>
  <c r="D250" i="78"/>
  <c r="L31" i="44"/>
  <c r="M31" i="44" s="1"/>
  <c r="M39" i="44" s="1"/>
  <c r="M92" i="44" s="1"/>
  <c r="AG52" i="29"/>
  <c r="AB247" i="31"/>
  <c r="AJ30" i="28"/>
  <c r="AD62" i="16"/>
  <c r="AD241" i="31"/>
  <c r="AP72" i="28"/>
  <c r="AP64" i="28" s="1"/>
  <c r="AQ88" i="29"/>
  <c r="AQ85" i="29" s="1"/>
  <c r="BL53" i="67"/>
  <c r="C48" i="67"/>
  <c r="B47" i="67"/>
  <c r="AH80" i="66"/>
  <c r="AH79" i="66" s="1"/>
  <c r="AE79" i="66"/>
  <c r="CC42" i="67"/>
  <c r="CC60" i="67"/>
  <c r="AF82" i="66"/>
  <c r="AI82" i="66" s="1"/>
  <c r="C13" i="78"/>
  <c r="G13" i="78" s="1"/>
  <c r="C120" i="78"/>
  <c r="AD31" i="67"/>
  <c r="AB28" i="67"/>
  <c r="C28" i="67"/>
  <c r="B31" i="67"/>
  <c r="BR57" i="67"/>
  <c r="BP57" i="67" s="1"/>
  <c r="BR39" i="67"/>
  <c r="BP39" i="67" s="1"/>
  <c r="G439" i="78"/>
  <c r="G435" i="78"/>
  <c r="AJ713" i="31"/>
  <c r="AK103" i="29"/>
  <c r="AJ873" i="30"/>
  <c r="D373" i="78"/>
  <c r="G373" i="78" s="1"/>
  <c r="C284" i="78"/>
  <c r="AL270" i="30"/>
  <c r="AL306" i="31"/>
  <c r="AD51" i="67"/>
  <c r="AB50" i="67"/>
  <c r="AD50" i="67" s="1"/>
  <c r="AB49" i="67"/>
  <c r="AH40" i="67"/>
  <c r="AG39" i="67"/>
  <c r="BL39" i="67"/>
  <c r="AF30" i="28"/>
  <c r="AE53" i="29"/>
  <c r="AJ77" i="66"/>
  <c r="AJ78" i="66"/>
  <c r="D284" i="78"/>
  <c r="G378" i="78"/>
  <c r="BO59" i="67"/>
  <c r="BO41" i="67"/>
  <c r="CE60" i="67"/>
  <c r="CE42" i="67"/>
  <c r="AB335" i="30"/>
  <c r="AB726" i="30"/>
  <c r="AB565" i="31"/>
  <c r="AI104" i="29"/>
  <c r="AL104" i="29" s="1"/>
  <c r="AB723" i="30"/>
  <c r="AI102" i="29"/>
  <c r="AB562" i="31"/>
  <c r="D279" i="78"/>
  <c r="AG85" i="66"/>
  <c r="AF52" i="29"/>
  <c r="AD61" i="16"/>
  <c r="AD58" i="16" s="1"/>
  <c r="D368" i="78"/>
  <c r="G368" i="78" s="1"/>
  <c r="D91" i="78"/>
  <c r="G91" i="78" s="1"/>
  <c r="D90" i="78"/>
  <c r="G90" i="78" s="1"/>
  <c r="AH63" i="66"/>
  <c r="AE66" i="66"/>
  <c r="AH66" i="66" s="1"/>
  <c r="D124" i="78"/>
  <c r="G124" i="78" s="1"/>
  <c r="D120" i="78"/>
  <c r="G205" i="78"/>
  <c r="AR81" i="29"/>
  <c r="AQ60" i="28"/>
  <c r="AR94" i="29"/>
  <c r="AQ78" i="28"/>
  <c r="C104" i="78"/>
  <c r="G104" i="78" s="1"/>
  <c r="AJ875" i="30"/>
  <c r="AJ715" i="31"/>
  <c r="AK106" i="29"/>
  <c r="AN106" i="29" s="1"/>
  <c r="AF78" i="66"/>
  <c r="D99" i="78"/>
  <c r="AE82" i="66"/>
  <c r="AH82" i="66" s="1"/>
  <c r="AG30" i="28"/>
  <c r="AE52" i="29"/>
  <c r="BL57" i="67"/>
  <c r="BQ60" i="67"/>
  <c r="BQ42" i="67"/>
  <c r="AI156" i="29"/>
  <c r="AK156" i="29" s="1"/>
  <c r="C199" i="78"/>
  <c r="CJ60" i="67"/>
  <c r="CJ42" i="67"/>
  <c r="AM31" i="66"/>
  <c r="AL266" i="30"/>
  <c r="AL302" i="31"/>
  <c r="AB311" i="31" s="1"/>
  <c r="D204" i="78"/>
  <c r="G204" i="78" s="1"/>
  <c r="D200" i="78"/>
  <c r="G200" i="78" s="1"/>
  <c r="AH30" i="28" l="1"/>
  <c r="G120" i="78"/>
  <c r="G284" i="78"/>
  <c r="D94" i="78"/>
  <c r="CB60" i="67"/>
  <c r="CB42" i="67"/>
  <c r="AM100" i="29"/>
  <c r="AN100" i="29"/>
  <c r="G308" i="78"/>
  <c r="BJ41" i="67"/>
  <c r="BJ59" i="67"/>
  <c r="C364" i="78"/>
  <c r="C244" i="78"/>
  <c r="G244" i="78" s="1"/>
  <c r="BV60" i="67"/>
  <c r="BV42" i="67"/>
  <c r="AM99" i="28"/>
  <c r="AL99" i="28"/>
  <c r="AJ90" i="66"/>
  <c r="D302" i="78"/>
  <c r="G302" i="78" s="1"/>
  <c r="D299" i="78"/>
  <c r="G299" i="78" s="1"/>
  <c r="C219" i="78"/>
  <c r="C94" i="78"/>
  <c r="AG86" i="66"/>
  <c r="AF85" i="66"/>
  <c r="AE85" i="66"/>
  <c r="AH41" i="67"/>
  <c r="AG40" i="67"/>
  <c r="AB46" i="67"/>
  <c r="AD49" i="67"/>
  <c r="C274" i="78"/>
  <c r="AM270" i="30"/>
  <c r="AM306" i="31"/>
  <c r="AN103" i="29"/>
  <c r="AM103" i="29"/>
  <c r="AL103" i="29"/>
  <c r="BR58" i="67"/>
  <c r="BR40" i="67"/>
  <c r="AD28" i="67"/>
  <c r="AB29" i="67"/>
  <c r="D199" i="78"/>
  <c r="G199" i="78" s="1"/>
  <c r="D195" i="78"/>
  <c r="AQ72" i="28"/>
  <c r="AQ64" i="28" s="1"/>
  <c r="AR88" i="29"/>
  <c r="AR85" i="29" s="1"/>
  <c r="D274" i="78"/>
  <c r="AF84" i="66"/>
  <c r="D362" i="78"/>
  <c r="G362" i="78" s="1"/>
  <c r="G313" i="78"/>
  <c r="C403" i="78"/>
  <c r="AH780" i="30"/>
  <c r="AH620" i="31"/>
  <c r="D364" i="78"/>
  <c r="AK104" i="28"/>
  <c r="AQ92" i="29"/>
  <c r="G150" i="78"/>
  <c r="D369" i="78"/>
  <c r="G369" i="78" s="1"/>
  <c r="AD53" i="16"/>
  <c r="C144" i="57"/>
  <c r="D143" i="57"/>
  <c r="AH88" i="66"/>
  <c r="C428" i="78"/>
  <c r="AG103" i="28"/>
  <c r="AG105" i="28" s="1"/>
  <c r="AH59" i="67"/>
  <c r="AG58" i="67"/>
  <c r="AO63" i="28"/>
  <c r="AP83" i="29"/>
  <c r="CD58" i="67"/>
  <c r="CD40" i="67"/>
  <c r="AE77" i="66"/>
  <c r="AE84" i="66" s="1"/>
  <c r="BL40" i="67"/>
  <c r="D303" i="78"/>
  <c r="AJ103" i="28"/>
  <c r="AB244" i="30"/>
  <c r="AI259" i="31"/>
  <c r="AB260" i="31" s="1"/>
  <c r="AI256" i="30"/>
  <c r="AB258" i="30" s="1"/>
  <c r="BO60" i="67"/>
  <c r="BO42" i="67"/>
  <c r="AM266" i="30"/>
  <c r="AB275" i="30" s="1"/>
  <c r="AM302" i="31"/>
  <c r="C195" i="78"/>
  <c r="G195" i="78" s="1"/>
  <c r="C23" i="78"/>
  <c r="C47" i="78"/>
  <c r="G47" i="78" s="1"/>
  <c r="C398" i="78"/>
  <c r="AH78" i="66"/>
  <c r="AH77" i="66"/>
  <c r="AH84" i="66" s="1"/>
  <c r="AL304" i="31"/>
  <c r="AL268" i="30"/>
  <c r="C224" i="78"/>
  <c r="C29" i="67"/>
  <c r="B28" i="67"/>
  <c r="AI303" i="31"/>
  <c r="AI267" i="30"/>
  <c r="AJ267" i="30" s="1"/>
  <c r="AH52" i="29"/>
  <c r="AD242" i="31"/>
  <c r="G250" i="78"/>
  <c r="AI888" i="30"/>
  <c r="AI728" i="31"/>
  <c r="BZ40" i="67"/>
  <c r="BZ58" i="67"/>
  <c r="AL886" i="30"/>
  <c r="AM886" i="30" s="1"/>
  <c r="AL726" i="31"/>
  <c r="AM726" i="31" s="1"/>
  <c r="G99" i="78"/>
  <c r="C303" i="78"/>
  <c r="G303" i="78" s="1"/>
  <c r="AQ84" i="29"/>
  <c r="G279" i="78"/>
  <c r="CA57" i="67"/>
  <c r="CA39" i="67"/>
  <c r="D363" i="78"/>
  <c r="G363" i="78" s="1"/>
  <c r="BL58" i="67"/>
  <c r="BW35" i="67"/>
  <c r="BU35" i="67" s="1"/>
  <c r="BW53" i="67"/>
  <c r="BU53" i="67" s="1"/>
  <c r="AG93" i="28"/>
  <c r="AF90" i="29"/>
  <c r="AG172" i="29" s="1"/>
  <c r="AR95" i="29"/>
  <c r="AQ84" i="28"/>
  <c r="D273" i="78"/>
  <c r="G273" i="78" s="1"/>
  <c r="D270" i="78"/>
  <c r="G270" i="78" s="1"/>
  <c r="AL303" i="31"/>
  <c r="AL267" i="30"/>
  <c r="AI77" i="66"/>
  <c r="AI84" i="66" s="1"/>
  <c r="AI78" i="66"/>
  <c r="BS58" i="67"/>
  <c r="BS40" i="67"/>
  <c r="AI88" i="66"/>
  <c r="AF90" i="66"/>
  <c r="AE78" i="66"/>
  <c r="AE90" i="66" s="1"/>
  <c r="AI90" i="66" l="1"/>
  <c r="G94" i="78"/>
  <c r="AG340" i="30"/>
  <c r="AM268" i="30"/>
  <c r="AM304" i="31"/>
  <c r="BS59" i="67"/>
  <c r="BS41" i="67"/>
  <c r="AB312" i="31"/>
  <c r="AB313" i="31"/>
  <c r="AB314" i="31" s="1"/>
  <c r="BX35" i="67"/>
  <c r="BX53" i="67"/>
  <c r="AP63" i="28"/>
  <c r="AQ83" i="29"/>
  <c r="C423" i="78"/>
  <c r="D23" i="78"/>
  <c r="CD59" i="67"/>
  <c r="CD41" i="67"/>
  <c r="AF103" i="28"/>
  <c r="AL888" i="30"/>
  <c r="AB890" i="30" s="1"/>
  <c r="AL728" i="31"/>
  <c r="AH90" i="66"/>
  <c r="BR59" i="67"/>
  <c r="BP59" i="67" s="1"/>
  <c r="BR41" i="67"/>
  <c r="BP41" i="67" s="1"/>
  <c r="G274" i="78"/>
  <c r="AH85" i="66"/>
  <c r="AH86" i="66" s="1"/>
  <c r="AE86" i="66"/>
  <c r="BL59" i="67"/>
  <c r="AL56" i="67"/>
  <c r="AN56" i="67" s="1"/>
  <c r="AL38" i="67"/>
  <c r="AN38" i="67" s="1"/>
  <c r="AJ31" i="28"/>
  <c r="D428" i="78"/>
  <c r="D424" i="78"/>
  <c r="D219" i="78"/>
  <c r="G219" i="78" s="1"/>
  <c r="D215" i="78"/>
  <c r="D403" i="78"/>
  <c r="D399" i="78"/>
  <c r="C359" i="78"/>
  <c r="C246" i="78"/>
  <c r="G246" i="78" s="1"/>
  <c r="CA40" i="67"/>
  <c r="CA58" i="67"/>
  <c r="AR84" i="29"/>
  <c r="AI268" i="30"/>
  <c r="AJ268" i="30" s="1"/>
  <c r="AI304" i="31"/>
  <c r="B29" i="67"/>
  <c r="C30" i="67"/>
  <c r="AG82" i="66"/>
  <c r="AK103" i="28"/>
  <c r="AH60" i="67"/>
  <c r="AG60" i="67" s="1"/>
  <c r="AG59" i="67"/>
  <c r="C424" i="78"/>
  <c r="C252" i="78"/>
  <c r="G252" i="78" s="1"/>
  <c r="AM104" i="28"/>
  <c r="AL104" i="28"/>
  <c r="D398" i="78"/>
  <c r="D394" i="78"/>
  <c r="BP40" i="67"/>
  <c r="AF86" i="66"/>
  <c r="AI85" i="66"/>
  <c r="AI86" i="66" s="1"/>
  <c r="G364" i="78"/>
  <c r="BL41" i="67"/>
  <c r="AM303" i="31"/>
  <c r="AM267" i="30"/>
  <c r="C393" i="78"/>
  <c r="BZ59" i="67"/>
  <c r="BZ41" i="67"/>
  <c r="AL53" i="67"/>
  <c r="AN53" i="67" s="1"/>
  <c r="AL35" i="67"/>
  <c r="AN35" i="67" s="1"/>
  <c r="AG31" i="28"/>
  <c r="AG33" i="28" s="1"/>
  <c r="C394" i="78"/>
  <c r="G394" i="78" s="1"/>
  <c r="C247" i="78"/>
  <c r="G247" i="78" s="1"/>
  <c r="G23" i="78"/>
  <c r="AJ105" i="28"/>
  <c r="AN103" i="28"/>
  <c r="AB531" i="31"/>
  <c r="AB691" i="30"/>
  <c r="AJ93" i="28"/>
  <c r="G428" i="78"/>
  <c r="C433" i="78"/>
  <c r="D144" i="57"/>
  <c r="C145" i="57"/>
  <c r="AR92" i="29"/>
  <c r="C399" i="78"/>
  <c r="G399" i="78" s="1"/>
  <c r="C248" i="78"/>
  <c r="G248" i="78" s="1"/>
  <c r="D359" i="78"/>
  <c r="BP58" i="67"/>
  <c r="AD46" i="67"/>
  <c r="AB47" i="67"/>
  <c r="AG41" i="67"/>
  <c r="AH42" i="67"/>
  <c r="AG42" i="67" s="1"/>
  <c r="C215" i="78"/>
  <c r="G215" i="78" s="1"/>
  <c r="C24" i="78"/>
  <c r="G24" i="78" s="1"/>
  <c r="C48" i="78"/>
  <c r="G48" i="78" s="1"/>
  <c r="BJ60" i="67"/>
  <c r="BJ42" i="67"/>
  <c r="C214" i="78"/>
  <c r="AI52" i="29"/>
  <c r="AD243" i="31"/>
  <c r="C220" i="78"/>
  <c r="C25" i="78"/>
  <c r="G25" i="78" s="1"/>
  <c r="C49" i="78"/>
  <c r="G49" i="78" s="1"/>
  <c r="G398" i="78"/>
  <c r="N31" i="44"/>
  <c r="O31" i="44" s="1"/>
  <c r="O39" i="44" s="1"/>
  <c r="O92" i="44" s="1"/>
  <c r="AK30" i="28"/>
  <c r="AG53" i="29"/>
  <c r="AG54" i="29" s="1"/>
  <c r="AG57" i="29" s="1"/>
  <c r="AH498" i="30"/>
  <c r="AB493" i="30"/>
  <c r="AE62" i="16"/>
  <c r="AE58" i="16" s="1"/>
  <c r="BX38" i="67"/>
  <c r="AM75" i="66"/>
  <c r="AK102" i="29"/>
  <c r="AJ874" i="30"/>
  <c r="AJ714" i="31"/>
  <c r="G403" i="78"/>
  <c r="AB30" i="67"/>
  <c r="AD30" i="67" s="1"/>
  <c r="AD29" i="67"/>
  <c r="D224" i="78"/>
  <c r="G224" i="78" s="1"/>
  <c r="D220" i="78"/>
  <c r="AL57" i="67"/>
  <c r="AN57" i="67" s="1"/>
  <c r="AL39" i="67"/>
  <c r="AN39" i="67" s="1"/>
  <c r="AI63" i="29"/>
  <c r="AJ38" i="28"/>
  <c r="AJ40" i="28" s="1"/>
  <c r="G424" i="78" l="1"/>
  <c r="AL75" i="66"/>
  <c r="AK75" i="66"/>
  <c r="AM30" i="28"/>
  <c r="AL30" i="28"/>
  <c r="AL82" i="66"/>
  <c r="C210" i="78"/>
  <c r="C26" i="78"/>
  <c r="G26" i="78" s="1"/>
  <c r="C50" i="78"/>
  <c r="G50" i="78" s="1"/>
  <c r="AD47" i="67"/>
  <c r="AB48" i="67"/>
  <c r="AD48" i="67" s="1"/>
  <c r="AM73" i="66"/>
  <c r="BW38" i="67"/>
  <c r="AH738" i="30"/>
  <c r="AH577" i="31"/>
  <c r="BZ60" i="67"/>
  <c r="CA43" i="68" s="1"/>
  <c r="BZ42" i="67"/>
  <c r="AB276" i="30"/>
  <c r="AB277" i="30"/>
  <c r="AB278" i="30" s="1"/>
  <c r="AK305" i="31"/>
  <c r="AK269" i="30"/>
  <c r="AG115" i="29"/>
  <c r="AG113" i="29"/>
  <c r="G359" i="78"/>
  <c r="AF34" i="68"/>
  <c r="AK34" i="68"/>
  <c r="AL34" i="68"/>
  <c r="BW34" i="68"/>
  <c r="BN34" i="68"/>
  <c r="CF34" i="68"/>
  <c r="BP33" i="68"/>
  <c r="BS33" i="68"/>
  <c r="BL33" i="68"/>
  <c r="CD33" i="68"/>
  <c r="CI33" i="68"/>
  <c r="CJ33" i="68"/>
  <c r="AG33" i="68"/>
  <c r="BT32" i="68"/>
  <c r="AJ32" i="68"/>
  <c r="CA32" i="68"/>
  <c r="BL32" i="68"/>
  <c r="AK31" i="68"/>
  <c r="CF31" i="68"/>
  <c r="BW31" i="68"/>
  <c r="AG31" i="68"/>
  <c r="AJ31" i="68"/>
  <c r="CD31" i="68"/>
  <c r="CB31" i="68"/>
  <c r="BL30" i="68"/>
  <c r="AF30" i="68"/>
  <c r="CF30" i="68"/>
  <c r="CE30" i="68"/>
  <c r="AK30" i="68"/>
  <c r="BT30" i="68"/>
  <c r="AL30" i="68"/>
  <c r="BP30" i="68"/>
  <c r="CD60" i="67"/>
  <c r="CD42" i="67"/>
  <c r="AE67" i="16"/>
  <c r="AE44" i="16"/>
  <c r="AE73" i="16" s="1"/>
  <c r="AE31" i="16" s="1"/>
  <c r="BL42" i="67"/>
  <c r="AK82" i="66"/>
  <c r="D214" i="78"/>
  <c r="G214" i="78" s="1"/>
  <c r="D210" i="78"/>
  <c r="BU39" i="68"/>
  <c r="AN39" i="68"/>
  <c r="CF39" i="68"/>
  <c r="BP39" i="68"/>
  <c r="AZ39" i="68"/>
  <c r="CE39" i="68"/>
  <c r="BO39" i="68"/>
  <c r="AU39" i="68"/>
  <c r="BR39" i="68"/>
  <c r="BI39" i="68"/>
  <c r="CD39" i="68"/>
  <c r="AF39" i="68"/>
  <c r="CB39" i="68"/>
  <c r="CA39" i="68"/>
  <c r="AQ39" i="68"/>
  <c r="BA39" i="68"/>
  <c r="BM39" i="68"/>
  <c r="BH39" i="68"/>
  <c r="AL39" i="68"/>
  <c r="AS39" i="68"/>
  <c r="BT39" i="68"/>
  <c r="BD39" i="68"/>
  <c r="AY39" i="68"/>
  <c r="AJ39" i="68"/>
  <c r="BE39" i="68"/>
  <c r="BL39" i="68"/>
  <c r="AR39" i="68"/>
  <c r="BG39" i="68"/>
  <c r="BB39" i="68"/>
  <c r="BN39" i="68"/>
  <c r="AW39" i="68"/>
  <c r="BX39" i="68"/>
  <c r="AI39" i="68"/>
  <c r="BW39" i="68"/>
  <c r="BC39" i="68"/>
  <c r="AK39" i="68"/>
  <c r="BF39" i="68"/>
  <c r="CJ39" i="68"/>
  <c r="BS39" i="68"/>
  <c r="BY39" i="68"/>
  <c r="CC39" i="68"/>
  <c r="CI39" i="68"/>
  <c r="BZ39" i="68"/>
  <c r="AX39" i="68"/>
  <c r="CD40" i="68"/>
  <c r="AL40" i="68"/>
  <c r="BM40" i="68"/>
  <c r="CB40" i="68"/>
  <c r="CI40" i="68"/>
  <c r="BW40" i="68"/>
  <c r="CC40" i="68"/>
  <c r="AK40" i="68"/>
  <c r="BT40" i="68"/>
  <c r="CA40" i="68"/>
  <c r="BP40" i="68"/>
  <c r="BR40" i="68"/>
  <c r="AG40" i="68"/>
  <c r="BL40" i="68"/>
  <c r="BS40" i="68"/>
  <c r="AJ40" i="68"/>
  <c r="AI40" i="68"/>
  <c r="BN40" i="68"/>
  <c r="CJ40" i="68"/>
  <c r="AF40" i="68"/>
  <c r="CF40" i="68"/>
  <c r="CE40" i="68"/>
  <c r="CC41" i="68"/>
  <c r="AK41" i="68"/>
  <c r="CB41" i="68"/>
  <c r="BL41" i="68"/>
  <c r="CA41" i="68"/>
  <c r="AL41" i="68"/>
  <c r="AI41" i="68"/>
  <c r="AG41" i="68"/>
  <c r="AJ41" i="68"/>
  <c r="BS41" i="68"/>
  <c r="CE41" i="68"/>
  <c r="CD41" i="68"/>
  <c r="CJ41" i="68"/>
  <c r="BT41" i="68"/>
  <c r="AF41" i="68"/>
  <c r="BW41" i="68"/>
  <c r="BN41" i="68"/>
  <c r="BM41" i="68"/>
  <c r="CF41" i="68"/>
  <c r="BP41" i="68"/>
  <c r="CI41" i="68"/>
  <c r="BR41" i="68"/>
  <c r="BQ41" i="68" s="1"/>
  <c r="AG42" i="68"/>
  <c r="AJ42" i="68"/>
  <c r="CA42" i="68"/>
  <c r="BR42" i="68"/>
  <c r="AI42" i="68"/>
  <c r="CJ42" i="68"/>
  <c r="BT42" i="68"/>
  <c r="AF42" i="68"/>
  <c r="BW42" i="68"/>
  <c r="CD42" i="68"/>
  <c r="BM42" i="68"/>
  <c r="CF42" i="68"/>
  <c r="BP42" i="68"/>
  <c r="CI42" i="68"/>
  <c r="BS42" i="68"/>
  <c r="BN42" i="68"/>
  <c r="CC42" i="68"/>
  <c r="AK42" i="68"/>
  <c r="BL42" i="68"/>
  <c r="BK42" i="68" s="1"/>
  <c r="CE42" i="68"/>
  <c r="AL42" i="68"/>
  <c r="CC43" i="68"/>
  <c r="AK43" i="68"/>
  <c r="BL43" i="68"/>
  <c r="CE43" i="68"/>
  <c r="AJ43" i="68"/>
  <c r="AI43" i="68"/>
  <c r="BR43" i="68"/>
  <c r="CJ43" i="68"/>
  <c r="AF43" i="68"/>
  <c r="BW43" i="68"/>
  <c r="CD43" i="68"/>
  <c r="AL43" i="68"/>
  <c r="CF43" i="68"/>
  <c r="BP43" i="68"/>
  <c r="CI43" i="68"/>
  <c r="BN43" i="68"/>
  <c r="D145" i="57"/>
  <c r="C146" i="57"/>
  <c r="C429" i="78"/>
  <c r="C253" i="78"/>
  <c r="G253" i="78" s="1"/>
  <c r="AL93" i="28"/>
  <c r="CA59" i="67"/>
  <c r="CB42" i="68" s="1"/>
  <c r="CA41" i="67"/>
  <c r="CB33" i="68" s="1"/>
  <c r="AL308" i="31"/>
  <c r="AL272" i="30"/>
  <c r="D393" i="78"/>
  <c r="G393" i="78" s="1"/>
  <c r="D389" i="78"/>
  <c r="BR60" i="67"/>
  <c r="BS43" i="68" s="1"/>
  <c r="BR42" i="67"/>
  <c r="AI34" i="68"/>
  <c r="CC34" i="68"/>
  <c r="BP34" i="68"/>
  <c r="CD34" i="68"/>
  <c r="CJ34" i="68"/>
  <c r="AG34" i="68"/>
  <c r="AF33" i="68"/>
  <c r="AK33" i="68"/>
  <c r="AL33" i="68"/>
  <c r="BT33" i="68"/>
  <c r="CE32" i="68"/>
  <c r="BR32" i="68"/>
  <c r="BS32" i="68"/>
  <c r="AF32" i="68"/>
  <c r="BM32" i="68"/>
  <c r="BW32" i="68"/>
  <c r="BN32" i="68"/>
  <c r="BS31" i="68"/>
  <c r="AF31" i="68"/>
  <c r="BN31" i="68"/>
  <c r="CC30" i="68"/>
  <c r="CD30" i="68"/>
  <c r="BN30" i="68"/>
  <c r="AN30" i="68"/>
  <c r="BR30" i="68"/>
  <c r="AF105" i="28"/>
  <c r="AH103" i="28"/>
  <c r="AR54" i="67"/>
  <c r="BI54" i="67" s="1"/>
  <c r="AR36" i="67"/>
  <c r="BI36" i="67" s="1"/>
  <c r="AG63" i="29"/>
  <c r="AG80" i="29" s="1"/>
  <c r="BB126" i="29"/>
  <c r="BB143" i="29" s="1"/>
  <c r="AK28" i="29" s="1"/>
  <c r="AF38" i="28"/>
  <c r="AI89" i="29"/>
  <c r="AJ73" i="28"/>
  <c r="AB419" i="31"/>
  <c r="AB579" i="30"/>
  <c r="AN102" i="29"/>
  <c r="AM102" i="29"/>
  <c r="AL102" i="29"/>
  <c r="BX57" i="67"/>
  <c r="BY40" i="68" s="1"/>
  <c r="BX39" i="67"/>
  <c r="BY31" i="68" s="1"/>
  <c r="AH53" i="29"/>
  <c r="AH54" i="29" s="1"/>
  <c r="AH57" i="29" s="1"/>
  <c r="AI498" i="30"/>
  <c r="AN30" i="28"/>
  <c r="G220" i="78"/>
  <c r="AL58" i="67"/>
  <c r="AN58" i="67" s="1"/>
  <c r="AL40" i="67"/>
  <c r="AN40" i="67" s="1"/>
  <c r="BL60" i="67"/>
  <c r="BM43" i="68" s="1"/>
  <c r="AN105" i="28"/>
  <c r="AO103" i="28"/>
  <c r="AL103" i="28"/>
  <c r="AK105" i="28"/>
  <c r="AM103" i="28"/>
  <c r="AJ82" i="66"/>
  <c r="AG84" i="66"/>
  <c r="AR83" i="29"/>
  <c r="AQ63" i="28"/>
  <c r="AL307" i="31"/>
  <c r="AL271" i="30"/>
  <c r="AH458" i="30"/>
  <c r="AJ34" i="68"/>
  <c r="CA34" i="68"/>
  <c r="AG43" i="68"/>
  <c r="CI34" i="68"/>
  <c r="AI33" i="68"/>
  <c r="CC33" i="68"/>
  <c r="BW33" i="68"/>
  <c r="BN33" i="68"/>
  <c r="CE33" i="68"/>
  <c r="BR33" i="68"/>
  <c r="BQ33" i="68" s="1"/>
  <c r="CF32" i="68"/>
  <c r="CJ32" i="68"/>
  <c r="AK32" i="68"/>
  <c r="AL32" i="68"/>
  <c r="BR31" i="68"/>
  <c r="CI31" i="68"/>
  <c r="CC31" i="68"/>
  <c r="BT31" i="68"/>
  <c r="AI31" i="68"/>
  <c r="AL31" i="68"/>
  <c r="CE31" i="68"/>
  <c r="CJ30" i="68"/>
  <c r="AJ30" i="68"/>
  <c r="BM30" i="68"/>
  <c r="CB30" i="68"/>
  <c r="BW30" i="68"/>
  <c r="CA30" i="68"/>
  <c r="AI30" i="68"/>
  <c r="AI903" i="30"/>
  <c r="AI743" i="31"/>
  <c r="C419" i="78"/>
  <c r="C254" i="78"/>
  <c r="G254" i="78" s="1"/>
  <c r="D433" i="78"/>
  <c r="G433" i="78" s="1"/>
  <c r="D429" i="78"/>
  <c r="AY57" i="67"/>
  <c r="BC57" i="67"/>
  <c r="AV57" i="67"/>
  <c r="BD57" i="67"/>
  <c r="BD58" i="67" s="1"/>
  <c r="AZ57" i="67"/>
  <c r="BH57" i="67"/>
  <c r="AR57" i="67"/>
  <c r="AT57" i="67"/>
  <c r="BF57" i="67"/>
  <c r="AP57" i="67"/>
  <c r="BB57" i="67"/>
  <c r="BE57" i="67"/>
  <c r="BE58" i="67" s="1"/>
  <c r="AQ57" i="67"/>
  <c r="AX57" i="67"/>
  <c r="BG57" i="67"/>
  <c r="BA57" i="67"/>
  <c r="BA58" i="67" s="1"/>
  <c r="AW57" i="67"/>
  <c r="D423" i="78"/>
  <c r="D419" i="78"/>
  <c r="AJ52" i="29"/>
  <c r="AD244" i="31"/>
  <c r="AM85" i="66"/>
  <c r="AK85" i="66"/>
  <c r="C389" i="78"/>
  <c r="G389" i="78" s="1"/>
  <c r="C249" i="78"/>
  <c r="G249" i="78" s="1"/>
  <c r="AJ33" i="28"/>
  <c r="AL33" i="28" s="1"/>
  <c r="AL31" i="28"/>
  <c r="BS34" i="68"/>
  <c r="BL34" i="68"/>
  <c r="BM34" i="68"/>
  <c r="CE34" i="68"/>
  <c r="BR34" i="68"/>
  <c r="AJ33" i="68"/>
  <c r="CA33" i="68"/>
  <c r="BM33" i="68"/>
  <c r="CF33" i="68"/>
  <c r="CB32" i="68"/>
  <c r="AG32" i="68"/>
  <c r="AI32" i="68"/>
  <c r="CC32" i="68"/>
  <c r="BP32" i="68"/>
  <c r="CD32" i="68"/>
  <c r="CI32" i="68"/>
  <c r="BP31" i="68"/>
  <c r="CJ31" i="68"/>
  <c r="CA31" i="68"/>
  <c r="BM31" i="68"/>
  <c r="BL31" i="68"/>
  <c r="BX30" i="68"/>
  <c r="BY30" i="68"/>
  <c r="BS30" i="68"/>
  <c r="G423" i="78"/>
  <c r="BS60" i="67"/>
  <c r="BT43" i="68" s="1"/>
  <c r="BS42" i="67"/>
  <c r="BT34" i="68" s="1"/>
  <c r="BG58" i="67" l="1"/>
  <c r="BB58" i="67"/>
  <c r="AR58" i="67"/>
  <c r="AX58" i="67"/>
  <c r="BH58" i="67"/>
  <c r="BC58" i="67"/>
  <c r="BK39" i="68"/>
  <c r="AW58" i="67"/>
  <c r="AQ58" i="67"/>
  <c r="BF58" i="67"/>
  <c r="AZ58" i="67"/>
  <c r="AY58" i="67"/>
  <c r="AH30" i="68"/>
  <c r="BK40" i="68"/>
  <c r="BK34" i="68"/>
  <c r="AH31" i="68"/>
  <c r="BV39" i="68"/>
  <c r="AI62" i="29"/>
  <c r="AL62" i="29" s="1"/>
  <c r="AG308" i="30"/>
  <c r="AK308" i="30" s="1"/>
  <c r="AJ37" i="28"/>
  <c r="AL37" i="28" s="1"/>
  <c r="AB299" i="30"/>
  <c r="AM105" i="28"/>
  <c r="AL105" i="28"/>
  <c r="BX58" i="67"/>
  <c r="BY41" i="68" s="1"/>
  <c r="BX40" i="67"/>
  <c r="BY32" i="68" s="1"/>
  <c r="AH32" i="68"/>
  <c r="AI309" i="31"/>
  <c r="AI273" i="30"/>
  <c r="AJ273" i="30" s="1"/>
  <c r="AT58" i="67"/>
  <c r="AI72" i="29"/>
  <c r="AL72" i="29" s="1"/>
  <c r="AH379" i="30"/>
  <c r="AJ49" i="28"/>
  <c r="AL49" i="28" s="1"/>
  <c r="AP103" i="28"/>
  <c r="AO105" i="28"/>
  <c r="BT36" i="67"/>
  <c r="CG36" i="67" s="1"/>
  <c r="CK36" i="67" s="1"/>
  <c r="CF36" i="67" s="1"/>
  <c r="BT54" i="67"/>
  <c r="CG54" i="67" s="1"/>
  <c r="CK54" i="67" s="1"/>
  <c r="CF54" i="67" s="1"/>
  <c r="AK605" i="31"/>
  <c r="AB420" i="31"/>
  <c r="AB580" i="30"/>
  <c r="AF73" i="28"/>
  <c r="AK765" i="30"/>
  <c r="AG89" i="29"/>
  <c r="AF40" i="28"/>
  <c r="AH40" i="28" s="1"/>
  <c r="AH38" i="28"/>
  <c r="AF58" i="28"/>
  <c r="AH105" i="28"/>
  <c r="AH34" i="68"/>
  <c r="BP60" i="67"/>
  <c r="BQ42" i="68"/>
  <c r="AG116" i="29"/>
  <c r="AB560" i="31"/>
  <c r="AB721" i="30"/>
  <c r="AI100" i="29"/>
  <c r="AL73" i="66"/>
  <c r="AK73" i="66"/>
  <c r="AM82" i="66"/>
  <c r="AL305" i="31"/>
  <c r="AL269" i="30"/>
  <c r="AL309" i="31"/>
  <c r="AL273" i="30"/>
  <c r="AJ50" i="28"/>
  <c r="AL50" i="28" s="1"/>
  <c r="AI73" i="29"/>
  <c r="AL73" i="29" s="1"/>
  <c r="AB392" i="30"/>
  <c r="BK31" i="68"/>
  <c r="BQ34" i="68"/>
  <c r="AK52" i="29"/>
  <c r="AD245" i="31"/>
  <c r="AV58" i="67"/>
  <c r="AU57" i="67"/>
  <c r="AS57" i="67" s="1"/>
  <c r="G419" i="78"/>
  <c r="BQ31" i="68"/>
  <c r="AJ51" i="28"/>
  <c r="AL51" i="28" s="1"/>
  <c r="AI74" i="29"/>
  <c r="AL74" i="29" s="1"/>
  <c r="AB402" i="30"/>
  <c r="AH376" i="30"/>
  <c r="AJ46" i="28"/>
  <c r="AL46" i="28" s="1"/>
  <c r="AI69" i="29"/>
  <c r="AL69" i="29" s="1"/>
  <c r="AI76" i="29"/>
  <c r="AL76" i="29" s="1"/>
  <c r="AJ55" i="28"/>
  <c r="AL55" i="28" s="1"/>
  <c r="AB422" i="30"/>
  <c r="AM307" i="31"/>
  <c r="AM271" i="30"/>
  <c r="BB45" i="29"/>
  <c r="AK34" i="29"/>
  <c r="AK37" i="29" s="1"/>
  <c r="AK33" i="29"/>
  <c r="AK36" i="29" s="1"/>
  <c r="AK32" i="29"/>
  <c r="AK35" i="29" s="1"/>
  <c r="BQ30" i="68"/>
  <c r="BQ32" i="68"/>
  <c r="AM272" i="30"/>
  <c r="AM308" i="31"/>
  <c r="G429" i="78"/>
  <c r="BK41" i="68"/>
  <c r="BQ40" i="68"/>
  <c r="AV39" i="68"/>
  <c r="AT39" i="68" s="1"/>
  <c r="AP39" i="68"/>
  <c r="BK33" i="68"/>
  <c r="BW57" i="67"/>
  <c r="BW39" i="67"/>
  <c r="AL85" i="66"/>
  <c r="AP58" i="67"/>
  <c r="AO57" i="67"/>
  <c r="AH33" i="68"/>
  <c r="AH377" i="30"/>
  <c r="AJ47" i="28"/>
  <c r="AL47" i="28" s="1"/>
  <c r="AI70" i="29"/>
  <c r="AL70" i="29" s="1"/>
  <c r="AJ52" i="28"/>
  <c r="AL52" i="28" s="1"/>
  <c r="AI75" i="29"/>
  <c r="AL75" i="29" s="1"/>
  <c r="AB412" i="30"/>
  <c r="AJ458" i="30"/>
  <c r="AK458" i="30"/>
  <c r="AO78" i="29"/>
  <c r="AP78" i="29" s="1"/>
  <c r="AO68" i="29"/>
  <c r="AO70" i="29"/>
  <c r="AP70" i="29" s="1"/>
  <c r="AO67" i="29"/>
  <c r="AO65" i="29"/>
  <c r="AO72" i="29"/>
  <c r="AO69" i="29"/>
  <c r="AP69" i="29" s="1"/>
  <c r="AO71" i="29"/>
  <c r="AP71" i="29" s="1"/>
  <c r="AO73" i="29"/>
  <c r="AP73" i="29" s="1"/>
  <c r="AO75" i="29"/>
  <c r="AO76" i="29"/>
  <c r="AP76" i="29" s="1"/>
  <c r="AO62" i="29"/>
  <c r="AP62" i="29" s="1"/>
  <c r="AO74" i="29"/>
  <c r="AP74" i="29" s="1"/>
  <c r="AO79" i="29"/>
  <c r="AO77" i="29"/>
  <c r="AP77" i="29" s="1"/>
  <c r="AN31" i="68"/>
  <c r="AM31" i="68" s="1"/>
  <c r="AO31" i="68" s="1"/>
  <c r="AN32" i="68"/>
  <c r="AM32" i="68" s="1"/>
  <c r="AO32" i="68" s="1"/>
  <c r="AN34" i="68"/>
  <c r="AN33" i="68"/>
  <c r="CA60" i="67"/>
  <c r="CB43" i="68" s="1"/>
  <c r="CA42" i="67"/>
  <c r="CB34" i="68" s="1"/>
  <c r="C147" i="57"/>
  <c r="D146" i="57"/>
  <c r="BQ43" i="68"/>
  <c r="AH41" i="68"/>
  <c r="AN43" i="68"/>
  <c r="AN42" i="68"/>
  <c r="AN41" i="68"/>
  <c r="AN40" i="68"/>
  <c r="AL59" i="67"/>
  <c r="AN59" i="67" s="1"/>
  <c r="BA59" i="67" s="1"/>
  <c r="AL41" i="67"/>
  <c r="AN41" i="67" s="1"/>
  <c r="BK30" i="68"/>
  <c r="G210" i="78"/>
  <c r="AI68" i="29"/>
  <c r="AL68" i="29" s="1"/>
  <c r="AH375" i="30"/>
  <c r="AJ45" i="28"/>
  <c r="AL45" i="28" s="1"/>
  <c r="AJ53" i="28"/>
  <c r="AL53" i="28" s="1"/>
  <c r="AI78" i="29"/>
  <c r="AL78" i="29" s="1"/>
  <c r="AB442" i="30"/>
  <c r="AJ498" i="30"/>
  <c r="AO30" i="28"/>
  <c r="AI53" i="29"/>
  <c r="AI54" i="29" s="1"/>
  <c r="AI57" i="29" s="1"/>
  <c r="BT38" i="67"/>
  <c r="BU30" i="68" s="1"/>
  <c r="BP42" i="67"/>
  <c r="AH43" i="68"/>
  <c r="BK43" i="68"/>
  <c r="AH42" i="68"/>
  <c r="AM43" i="68" s="1"/>
  <c r="AO43" i="68" s="1"/>
  <c r="AH40" i="68"/>
  <c r="AM41" i="68" s="1"/>
  <c r="AO41" i="68" s="1"/>
  <c r="AH39" i="68"/>
  <c r="BQ39" i="68"/>
  <c r="CH39" i="68" s="1"/>
  <c r="BK32" i="68"/>
  <c r="AM42" i="68" l="1"/>
  <c r="AO42" i="68" s="1"/>
  <c r="AO66" i="29"/>
  <c r="AP67" i="29"/>
  <c r="AH457" i="30"/>
  <c r="BC59" i="67"/>
  <c r="AX59" i="67"/>
  <c r="BX40" i="68"/>
  <c r="AL60" i="67"/>
  <c r="AN60" i="67" s="1"/>
  <c r="BA60" i="67" s="1"/>
  <c r="AL42" i="67"/>
  <c r="AN42" i="67" s="1"/>
  <c r="BB59" i="67"/>
  <c r="AM309" i="31"/>
  <c r="AM273" i="30"/>
  <c r="AL100" i="29"/>
  <c r="AJ379" i="30"/>
  <c r="AK379" i="30"/>
  <c r="AB298" i="30"/>
  <c r="AI307" i="30"/>
  <c r="AK61" i="29"/>
  <c r="AK36" i="28"/>
  <c r="AT59" i="67"/>
  <c r="AM33" i="68"/>
  <c r="AO33" i="68" s="1"/>
  <c r="AR53" i="67"/>
  <c r="BI53" i="67" s="1"/>
  <c r="AR35" i="67"/>
  <c r="BI35" i="67" s="1"/>
  <c r="AG38" i="28"/>
  <c r="AB336" i="30"/>
  <c r="AF63" i="29"/>
  <c r="AF80" i="29" s="1"/>
  <c r="BA126" i="29"/>
  <c r="AK498" i="30"/>
  <c r="AP30" i="28"/>
  <c r="AJ53" i="29"/>
  <c r="AJ54" i="29" s="1"/>
  <c r="AJ57" i="29" s="1"/>
  <c r="AQ71" i="29" s="1"/>
  <c r="AK38" i="28"/>
  <c r="AG341" i="30"/>
  <c r="AB342" i="30" s="1"/>
  <c r="AB343" i="30"/>
  <c r="AK63" i="29"/>
  <c r="AQ76" i="29"/>
  <c r="AQ69" i="29"/>
  <c r="AQ70" i="29"/>
  <c r="AM34" i="68"/>
  <c r="AO34" i="68" s="1"/>
  <c r="BH59" i="67"/>
  <c r="BH60" i="67" s="1"/>
  <c r="BG59" i="67"/>
  <c r="BG60" i="67" s="1"/>
  <c r="AY59" i="67"/>
  <c r="AY60" i="67" s="1"/>
  <c r="AH58" i="28"/>
  <c r="AH171" i="29"/>
  <c r="AG98" i="29"/>
  <c r="AG107" i="29" s="1"/>
  <c r="AP105" i="28"/>
  <c r="AQ103" i="28"/>
  <c r="AQ105" i="28" s="1"/>
  <c r="AZ59" i="67"/>
  <c r="AZ60" i="67" s="1"/>
  <c r="AQ77" i="29"/>
  <c r="AM40" i="68"/>
  <c r="AO40" i="68" s="1"/>
  <c r="BG38" i="67"/>
  <c r="AJ375" i="30"/>
  <c r="AK375" i="30"/>
  <c r="BF59" i="67"/>
  <c r="BF60" i="67" s="1"/>
  <c r="AP79" i="29"/>
  <c r="AQ79" i="29" s="1"/>
  <c r="AP75" i="29"/>
  <c r="AQ75" i="29" s="1"/>
  <c r="AP72" i="29"/>
  <c r="AQ72" i="29" s="1"/>
  <c r="AP68" i="29"/>
  <c r="AQ68" i="29" s="1"/>
  <c r="AJ74" i="28"/>
  <c r="AB511" i="31"/>
  <c r="AB671" i="30"/>
  <c r="AI90" i="29"/>
  <c r="AJ377" i="30"/>
  <c r="AK377" i="30"/>
  <c r="BI57" i="67"/>
  <c r="AW59" i="67"/>
  <c r="AW60" i="67" s="1"/>
  <c r="BW58" i="67"/>
  <c r="BW40" i="67"/>
  <c r="AK38" i="29"/>
  <c r="AJ376" i="30"/>
  <c r="AK376" i="30"/>
  <c r="CR30" i="68"/>
  <c r="CT30" i="68" s="1"/>
  <c r="AK33" i="66"/>
  <c r="AK30" i="66" s="1"/>
  <c r="AV59" i="67"/>
  <c r="AU58" i="67"/>
  <c r="AS58" i="67" s="1"/>
  <c r="AQ59" i="67"/>
  <c r="AQ60" i="67" s="1"/>
  <c r="AL765" i="30"/>
  <c r="AL773" i="30" s="1"/>
  <c r="AK773" i="30"/>
  <c r="AL605" i="31"/>
  <c r="AL613" i="31" s="1"/>
  <c r="AK613" i="31"/>
  <c r="BE59" i="67"/>
  <c r="BE60" i="67" s="1"/>
  <c r="AH473" i="30"/>
  <c r="C148" i="57"/>
  <c r="C149" i="57" s="1"/>
  <c r="C150" i="57" s="1"/>
  <c r="D147" i="57"/>
  <c r="AQ74" i="29"/>
  <c r="AQ73" i="29"/>
  <c r="AO64" i="29"/>
  <c r="AP65" i="29"/>
  <c r="AQ78" i="29"/>
  <c r="AK74" i="28"/>
  <c r="AB516" i="31"/>
  <c r="AB676" i="30"/>
  <c r="AK90" i="29"/>
  <c r="AJ44" i="28"/>
  <c r="AI67" i="29"/>
  <c r="AH374" i="30"/>
  <c r="AO58" i="67"/>
  <c r="AP59" i="67"/>
  <c r="BX31" i="68"/>
  <c r="BJ39" i="68"/>
  <c r="CK39" i="68" s="1"/>
  <c r="AI65" i="29"/>
  <c r="AJ42" i="28"/>
  <c r="AB346" i="30"/>
  <c r="AL33" i="66"/>
  <c r="AL30" i="66" s="1"/>
  <c r="AR59" i="67"/>
  <c r="AR60" i="67" s="1"/>
  <c r="AB297" i="31"/>
  <c r="AM305" i="31"/>
  <c r="AM269" i="30"/>
  <c r="AB261" i="30"/>
  <c r="AH73" i="28"/>
  <c r="AH91" i="28" s="1"/>
  <c r="AF91" i="28"/>
  <c r="AF100" i="28" s="1"/>
  <c r="AJ36" i="28"/>
  <c r="AJ35" i="28" s="1"/>
  <c r="AG307" i="30"/>
  <c r="AI61" i="29"/>
  <c r="AI60" i="29" s="1"/>
  <c r="AB293" i="30"/>
  <c r="BD59" i="67"/>
  <c r="BD60" i="67" s="1"/>
  <c r="BX59" i="67"/>
  <c r="BY42" i="68" s="1"/>
  <c r="BX41" i="67"/>
  <c r="BY33" i="68" s="1"/>
  <c r="AF101" i="28" l="1"/>
  <c r="AH100" i="28"/>
  <c r="AF110" i="28"/>
  <c r="AH110" i="28" s="1"/>
  <c r="CO39" i="68"/>
  <c r="CM39" i="68"/>
  <c r="CN39" i="68" s="1"/>
  <c r="CG39" i="68"/>
  <c r="BX60" i="67"/>
  <c r="BY43" i="68" s="1"/>
  <c r="BX42" i="67"/>
  <c r="BY34" i="68" s="1"/>
  <c r="CU31" i="68"/>
  <c r="CV31" i="68" s="1"/>
  <c r="AP60" i="67"/>
  <c r="AO60" i="67" s="1"/>
  <c r="AO59" i="67"/>
  <c r="AI66" i="29"/>
  <c r="AL66" i="29" s="1"/>
  <c r="AL67" i="29"/>
  <c r="AQ65" i="29"/>
  <c r="AH472" i="30"/>
  <c r="AB463" i="30"/>
  <c r="AI79" i="29"/>
  <c r="AL79" i="29" s="1"/>
  <c r="AJ57" i="28"/>
  <c r="AL57" i="28" s="1"/>
  <c r="CR39" i="68"/>
  <c r="CT39" i="68" s="1"/>
  <c r="BX41" i="68"/>
  <c r="BA40" i="68"/>
  <c r="BA41" i="68" s="1"/>
  <c r="BA42" i="68" s="1"/>
  <c r="BA43" i="68" s="1"/>
  <c r="BI40" i="68"/>
  <c r="BI41" i="68" s="1"/>
  <c r="BI42" i="68" s="1"/>
  <c r="BI43" i="68" s="1"/>
  <c r="AX40" i="68"/>
  <c r="AX41" i="68" s="1"/>
  <c r="AX42" i="68" s="1"/>
  <c r="AX43" i="68" s="1"/>
  <c r="AW40" i="68"/>
  <c r="AQ40" i="68"/>
  <c r="AZ40" i="68"/>
  <c r="AZ41" i="68" s="1"/>
  <c r="AZ42" i="68" s="1"/>
  <c r="AZ43" i="68" s="1"/>
  <c r="BB40" i="68"/>
  <c r="BB41" i="68" s="1"/>
  <c r="BB42" i="68" s="1"/>
  <c r="BB43" i="68" s="1"/>
  <c r="BE40" i="68"/>
  <c r="BE41" i="68" s="1"/>
  <c r="BE42" i="68" s="1"/>
  <c r="BE43" i="68" s="1"/>
  <c r="BG40" i="68"/>
  <c r="BG41" i="68" s="1"/>
  <c r="BG42" i="68" s="1"/>
  <c r="BG43" i="68" s="1"/>
  <c r="AU40" i="68"/>
  <c r="AR40" i="68"/>
  <c r="AR41" i="68" s="1"/>
  <c r="AR42" i="68" s="1"/>
  <c r="AR43" i="68" s="1"/>
  <c r="BD40" i="68"/>
  <c r="BD41" i="68" s="1"/>
  <c r="BD42" i="68" s="1"/>
  <c r="BD43" i="68" s="1"/>
  <c r="AS40" i="68"/>
  <c r="AS41" i="68" s="1"/>
  <c r="AS42" i="68" s="1"/>
  <c r="AS43" i="68" s="1"/>
  <c r="BC40" i="68"/>
  <c r="BC41" i="68" s="1"/>
  <c r="BC42" i="68" s="1"/>
  <c r="BC43" i="68" s="1"/>
  <c r="AY40" i="68"/>
  <c r="AY41" i="68" s="1"/>
  <c r="AY42" i="68" s="1"/>
  <c r="AY43" i="68" s="1"/>
  <c r="BH40" i="68"/>
  <c r="BH41" i="68" s="1"/>
  <c r="BH42" i="68" s="1"/>
  <c r="BH43" i="68" s="1"/>
  <c r="BF40" i="68"/>
  <c r="BF41" i="68" s="1"/>
  <c r="BF42" i="68" s="1"/>
  <c r="BF43" i="68" s="1"/>
  <c r="AK89" i="29"/>
  <c r="AK73" i="28"/>
  <c r="AB428" i="31"/>
  <c r="AB588" i="30"/>
  <c r="AL38" i="28"/>
  <c r="AK40" i="28"/>
  <c r="AM38" i="28"/>
  <c r="AT60" i="67"/>
  <c r="AK307" i="30"/>
  <c r="AI83" i="29"/>
  <c r="AJ63" i="28"/>
  <c r="AB376" i="31"/>
  <c r="AB536" i="30"/>
  <c r="BC60" i="67"/>
  <c r="AJ457" i="30"/>
  <c r="AK457" i="30"/>
  <c r="AQ62" i="29"/>
  <c r="BI58" i="67"/>
  <c r="AJ43" i="28"/>
  <c r="AL43" i="28" s="1"/>
  <c r="AL44" i="28"/>
  <c r="AJ473" i="30"/>
  <c r="AK473" i="30"/>
  <c r="AR70" i="29"/>
  <c r="AN63" i="29"/>
  <c r="AM63" i="29"/>
  <c r="AO63" i="29"/>
  <c r="AP63" i="29" s="1"/>
  <c r="AQ63" i="29" s="1"/>
  <c r="AL63" i="29"/>
  <c r="AK53" i="29"/>
  <c r="AK54" i="29" s="1"/>
  <c r="AK57" i="29" s="1"/>
  <c r="AR71" i="29" s="1"/>
  <c r="AL498" i="30"/>
  <c r="AQ30" i="28"/>
  <c r="AD50" i="16"/>
  <c r="AI306" i="30"/>
  <c r="AP66" i="29"/>
  <c r="AP64" i="29" s="1"/>
  <c r="AQ67" i="29"/>
  <c r="AG306" i="30"/>
  <c r="AD32" i="16"/>
  <c r="AL42" i="28"/>
  <c r="AH373" i="30"/>
  <c r="AB370" i="30"/>
  <c r="AN90" i="29"/>
  <c r="AM90" i="29"/>
  <c r="AL90" i="29"/>
  <c r="AL74" i="28"/>
  <c r="AM74" i="28"/>
  <c r="AR73" i="29"/>
  <c r="AM30" i="66"/>
  <c r="AG41" i="29"/>
  <c r="AG39" i="29"/>
  <c r="AQ118" i="29" s="1"/>
  <c r="AG40" i="29"/>
  <c r="AZ45" i="29" s="1"/>
  <c r="AQ46" i="29" s="1"/>
  <c r="BW59" i="67"/>
  <c r="BW41" i="67"/>
  <c r="AR79" i="29"/>
  <c r="AR69" i="29"/>
  <c r="BT35" i="67"/>
  <c r="CG35" i="67" s="1"/>
  <c r="CK35" i="67" s="1"/>
  <c r="CF35" i="67" s="1"/>
  <c r="BT53" i="67"/>
  <c r="CG53" i="67" s="1"/>
  <c r="CK53" i="67" s="1"/>
  <c r="CF53" i="67" s="1"/>
  <c r="AJ765" i="30"/>
  <c r="AJ773" i="30" s="1"/>
  <c r="AF89" i="29"/>
  <c r="AJ605" i="31"/>
  <c r="AJ613" i="31" s="1"/>
  <c r="AG73" i="28"/>
  <c r="AG91" i="28" s="1"/>
  <c r="AG40" i="28"/>
  <c r="AG58" i="28"/>
  <c r="AG100" i="28" s="1"/>
  <c r="AK35" i="28"/>
  <c r="AM36" i="28"/>
  <c r="AL36" i="28"/>
  <c r="AL65" i="29"/>
  <c r="AJ374" i="30"/>
  <c r="AK374" i="30"/>
  <c r="AR78" i="29"/>
  <c r="AR74" i="29"/>
  <c r="D150" i="57"/>
  <c r="C151" i="57"/>
  <c r="AU59" i="67"/>
  <c r="AS59" i="67" s="1"/>
  <c r="AV60" i="67"/>
  <c r="CW30" i="68"/>
  <c r="CV30" i="68"/>
  <c r="CW31" i="68"/>
  <c r="BX32" i="68"/>
  <c r="BY38" i="67"/>
  <c r="AR68" i="29"/>
  <c r="BG39" i="67"/>
  <c r="BG40" i="67" s="1"/>
  <c r="BG41" i="67" s="1"/>
  <c r="BG42" i="67" s="1"/>
  <c r="BH30" i="68"/>
  <c r="BH31" i="68" s="1"/>
  <c r="BH32" i="68" s="1"/>
  <c r="BH33" i="68" s="1"/>
  <c r="BH34" i="68" s="1"/>
  <c r="AR77" i="29"/>
  <c r="AI171" i="29"/>
  <c r="AH179" i="29"/>
  <c r="AI179" i="29" s="1"/>
  <c r="AR76" i="29"/>
  <c r="BC126" i="29"/>
  <c r="BC143" i="29" s="1"/>
  <c r="BA143" i="29"/>
  <c r="AL61" i="29"/>
  <c r="AO61" i="29"/>
  <c r="AN61" i="29"/>
  <c r="AN60" i="29" s="1"/>
  <c r="AN80" i="29" s="1"/>
  <c r="AK60" i="29"/>
  <c r="AM61" i="29"/>
  <c r="BB60" i="67"/>
  <c r="AX60" i="67"/>
  <c r="AJ56" i="28"/>
  <c r="AL56" i="28" s="1"/>
  <c r="AH456" i="30"/>
  <c r="AI77" i="29"/>
  <c r="AL77" i="29" s="1"/>
  <c r="AB452" i="30"/>
  <c r="AJ456" i="30" l="1"/>
  <c r="AK456" i="30"/>
  <c r="AN74" i="28"/>
  <c r="AO90" i="29"/>
  <c r="AJ872" i="30"/>
  <c r="AJ712" i="31"/>
  <c r="AK101" i="29"/>
  <c r="AK95" i="28"/>
  <c r="BX33" i="68"/>
  <c r="AM44" i="29"/>
  <c r="AE44" i="29"/>
  <c r="AJ373" i="30"/>
  <c r="AK373" i="30"/>
  <c r="AR67" i="29"/>
  <c r="AQ66" i="29"/>
  <c r="CL54" i="67"/>
  <c r="CM54" i="67" s="1"/>
  <c r="CL36" i="67"/>
  <c r="CM36" i="67" s="1"/>
  <c r="AB311" i="30"/>
  <c r="AK306" i="30"/>
  <c r="AI98" i="29"/>
  <c r="AL83" i="29"/>
  <c r="AN89" i="29"/>
  <c r="AN98" i="29" s="1"/>
  <c r="AM89" i="29"/>
  <c r="AL89" i="29"/>
  <c r="AK98" i="29"/>
  <c r="AP40" i="68"/>
  <c r="AQ41" i="68"/>
  <c r="BI59" i="67"/>
  <c r="AM60" i="29"/>
  <c r="AL60" i="29"/>
  <c r="AK80" i="29"/>
  <c r="AK58" i="28"/>
  <c r="AM35" i="28"/>
  <c r="AL35" i="28"/>
  <c r="BX42" i="68"/>
  <c r="AR75" i="29"/>
  <c r="AM40" i="28"/>
  <c r="AL40" i="28"/>
  <c r="AW41" i="68"/>
  <c r="AV40" i="68"/>
  <c r="CW40" i="68"/>
  <c r="CW39" i="68"/>
  <c r="CV39" i="68"/>
  <c r="AR65" i="29"/>
  <c r="AQ64" i="29"/>
  <c r="AI64" i="29"/>
  <c r="AG101" i="28"/>
  <c r="AG110" i="28"/>
  <c r="AM46" i="29"/>
  <c r="AE46" i="29"/>
  <c r="AJ41" i="28"/>
  <c r="BN38" i="67"/>
  <c r="AL339" i="31"/>
  <c r="AE32" i="16"/>
  <c r="AE27" i="16" s="1"/>
  <c r="AB487" i="30" s="1"/>
  <c r="AB479" i="30"/>
  <c r="AR63" i="29"/>
  <c r="AB343" i="31"/>
  <c r="AH101" i="28"/>
  <c r="AH90" i="28" s="1"/>
  <c r="AF111" i="28"/>
  <c r="AH111" i="28" s="1"/>
  <c r="AF90" i="28"/>
  <c r="BY57" i="67"/>
  <c r="BY39" i="67"/>
  <c r="AP61" i="29"/>
  <c r="AO60" i="29"/>
  <c r="AO80" i="29" s="1"/>
  <c r="BZ30" i="68"/>
  <c r="BV30" i="68" s="1"/>
  <c r="BU38" i="67"/>
  <c r="AU60" i="67"/>
  <c r="C152" i="57"/>
  <c r="D152" i="57" s="1"/>
  <c r="D151" i="57"/>
  <c r="AG171" i="29"/>
  <c r="AG179" i="29" s="1"/>
  <c r="AF118" i="29"/>
  <c r="AF98" i="29"/>
  <c r="AF107" i="29" s="1"/>
  <c r="AF97" i="29" s="1"/>
  <c r="BW60" i="67"/>
  <c r="BW42" i="67"/>
  <c r="AR62" i="29"/>
  <c r="AJ91" i="28"/>
  <c r="AL63" i="28"/>
  <c r="AL91" i="28" s="1"/>
  <c r="AS60" i="67"/>
  <c r="BI60" i="67" s="1"/>
  <c r="AB342" i="31"/>
  <c r="AB710" i="30"/>
  <c r="AL73" i="28"/>
  <c r="AM73" i="28"/>
  <c r="AK91" i="28"/>
  <c r="AM91" i="28" s="1"/>
  <c r="AT40" i="68"/>
  <c r="AU41" i="68"/>
  <c r="AR72" i="29"/>
  <c r="AJ472" i="30"/>
  <c r="AK472" i="30"/>
  <c r="AX38" i="67" l="1"/>
  <c r="AW38" i="67"/>
  <c r="BX43" i="68"/>
  <c r="AP60" i="29"/>
  <c r="AP80" i="29" s="1"/>
  <c r="AQ61" i="29"/>
  <c r="BN39" i="67"/>
  <c r="BN57" i="67"/>
  <c r="CG38" i="67"/>
  <c r="BO30" i="68"/>
  <c r="CH30" i="68" s="1"/>
  <c r="AG111" i="28"/>
  <c r="AG90" i="28"/>
  <c r="AJ870" i="30"/>
  <c r="AJ710" i="31"/>
  <c r="AU42" i="68"/>
  <c r="BB38" i="67"/>
  <c r="BA38" i="67"/>
  <c r="AV38" i="67"/>
  <c r="BC38" i="67"/>
  <c r="BY58" i="67"/>
  <c r="BY40" i="67"/>
  <c r="AL41" i="28"/>
  <c r="AJ58" i="28"/>
  <c r="AL64" i="29"/>
  <c r="AI80" i="29"/>
  <c r="AL80" i="29" s="1"/>
  <c r="AW42" i="68"/>
  <c r="AV41" i="68"/>
  <c r="AT41" i="68" s="1"/>
  <c r="AL58" i="28"/>
  <c r="AM58" i="28"/>
  <c r="AK100" i="28"/>
  <c r="AM80" i="29"/>
  <c r="AQ42" i="68"/>
  <c r="AP41" i="68"/>
  <c r="AM95" i="28"/>
  <c r="AQ38" i="67"/>
  <c r="BE38" i="67"/>
  <c r="BF38" i="67"/>
  <c r="BZ31" i="68"/>
  <c r="BV31" i="68" s="1"/>
  <c r="BU39" i="67"/>
  <c r="BJ40" i="68"/>
  <c r="AR66" i="29"/>
  <c r="AZ38" i="67"/>
  <c r="BX34" i="68"/>
  <c r="BZ40" i="68"/>
  <c r="BV40" i="68" s="1"/>
  <c r="BU57" i="67"/>
  <c r="AR64" i="29"/>
  <c r="AL98" i="29"/>
  <c r="AM98" i="29"/>
  <c r="AI900" i="30"/>
  <c r="AI740" i="31"/>
  <c r="AN101" i="29"/>
  <c r="AN99" i="29" s="1"/>
  <c r="AN107" i="29" s="1"/>
  <c r="AK109" i="29" s="1"/>
  <c r="AM101" i="29"/>
  <c r="AK99" i="29"/>
  <c r="AO74" i="28"/>
  <c r="AP90" i="29"/>
  <c r="AM109" i="29" l="1"/>
  <c r="AK110" i="29"/>
  <c r="AL109" i="29"/>
  <c r="BD38" i="67"/>
  <c r="AD34" i="16"/>
  <c r="AD49" i="16"/>
  <c r="AD67" i="16" s="1"/>
  <c r="AB722" i="30"/>
  <c r="AI101" i="29"/>
  <c r="AB561" i="31"/>
  <c r="AJ95" i="28"/>
  <c r="AL95" i="28" s="1"/>
  <c r="AJ100" i="28"/>
  <c r="AQ60" i="29"/>
  <c r="AQ80" i="29" s="1"/>
  <c r="AR61" i="29"/>
  <c r="AR60" i="29" s="1"/>
  <c r="AR80" i="29" s="1"/>
  <c r="AZ39" i="67"/>
  <c r="AZ40" i="67" s="1"/>
  <c r="AZ41" i="67" s="1"/>
  <c r="AZ42" i="67" s="1"/>
  <c r="BA30" i="68"/>
  <c r="BA31" i="68" s="1"/>
  <c r="BA32" i="68" s="1"/>
  <c r="BA33" i="68" s="1"/>
  <c r="BA34" i="68" s="1"/>
  <c r="BE39" i="67"/>
  <c r="BE40" i="67" s="1"/>
  <c r="BE41" i="67" s="1"/>
  <c r="BE42" i="67" s="1"/>
  <c r="BF30" i="68"/>
  <c r="BF31" i="68" s="1"/>
  <c r="BF32" i="68" s="1"/>
  <c r="BF33" i="68" s="1"/>
  <c r="BF34" i="68" s="1"/>
  <c r="AQ39" i="67"/>
  <c r="AQ40" i="67" s="1"/>
  <c r="AQ41" i="67" s="1"/>
  <c r="AQ42" i="67" s="1"/>
  <c r="AR30" i="68"/>
  <c r="AR31" i="68" s="1"/>
  <c r="AR32" i="68" s="1"/>
  <c r="AR33" i="68" s="1"/>
  <c r="AR34" i="68" s="1"/>
  <c r="BJ41" i="68"/>
  <c r="AW43" i="68"/>
  <c r="AV43" i="68" s="1"/>
  <c r="AV42" i="68"/>
  <c r="BY59" i="67"/>
  <c r="BY41" i="67"/>
  <c r="AU43" i="68"/>
  <c r="AT42" i="68"/>
  <c r="AY38" i="67"/>
  <c r="AI741" i="31"/>
  <c r="AI901" i="30"/>
  <c r="BF39" i="67"/>
  <c r="BF40" i="67" s="1"/>
  <c r="BF41" i="67" s="1"/>
  <c r="BF42" i="67" s="1"/>
  <c r="BG30" i="68"/>
  <c r="BG31" i="68" s="1"/>
  <c r="BG32" i="68" s="1"/>
  <c r="BG33" i="68" s="1"/>
  <c r="BG34" i="68" s="1"/>
  <c r="AQ43" i="68"/>
  <c r="AP43" i="68" s="1"/>
  <c r="AP42" i="68"/>
  <c r="AM100" i="28"/>
  <c r="AL100" i="28"/>
  <c r="AK101" i="28"/>
  <c r="AK110" i="28"/>
  <c r="CL53" i="67"/>
  <c r="CM53" i="67" s="1"/>
  <c r="CL35" i="67"/>
  <c r="CM35" i="67" s="1"/>
  <c r="BN58" i="67"/>
  <c r="BN40" i="67"/>
  <c r="BZ32" i="68"/>
  <c r="BV32" i="68" s="1"/>
  <c r="BU40" i="67"/>
  <c r="BO40" i="68"/>
  <c r="AM99" i="29"/>
  <c r="AP38" i="67"/>
  <c r="AP74" i="28"/>
  <c r="AQ90" i="29"/>
  <c r="AM69" i="66"/>
  <c r="AT38" i="67"/>
  <c r="AM67" i="66"/>
  <c r="AR38" i="67"/>
  <c r="AK107" i="29"/>
  <c r="BZ41" i="68"/>
  <c r="BV41" i="68" s="1"/>
  <c r="BU58" i="67"/>
  <c r="BC39" i="67"/>
  <c r="BC40" i="67" s="1"/>
  <c r="BC41" i="67" s="1"/>
  <c r="BC42" i="67" s="1"/>
  <c r="BD30" i="68"/>
  <c r="BD31" i="68" s="1"/>
  <c r="BD32" i="68" s="1"/>
  <c r="BD33" i="68" s="1"/>
  <c r="BD34" i="68" s="1"/>
  <c r="AV39" i="67"/>
  <c r="AU38" i="67"/>
  <c r="AW30" i="68"/>
  <c r="BA39" i="67"/>
  <c r="BA40" i="67" s="1"/>
  <c r="BA41" i="67" s="1"/>
  <c r="BA42" i="67" s="1"/>
  <c r="BB30" i="68"/>
  <c r="BB31" i="68" s="1"/>
  <c r="BB32" i="68" s="1"/>
  <c r="BB33" i="68" s="1"/>
  <c r="BB34" i="68" s="1"/>
  <c r="BB39" i="67"/>
  <c r="BB40" i="67" s="1"/>
  <c r="BB41" i="67" s="1"/>
  <c r="BB42" i="67" s="1"/>
  <c r="BC30" i="68"/>
  <c r="BC31" i="68" s="1"/>
  <c r="BC32" i="68" s="1"/>
  <c r="BC33" i="68" s="1"/>
  <c r="BC34" i="68" s="1"/>
  <c r="BO31" i="68"/>
  <c r="AW39" i="67"/>
  <c r="AW40" i="67" s="1"/>
  <c r="AW41" i="67" s="1"/>
  <c r="AW42" i="67" s="1"/>
  <c r="AX30" i="68"/>
  <c r="AX31" i="68" s="1"/>
  <c r="AX32" i="68" s="1"/>
  <c r="AX33" i="68" s="1"/>
  <c r="AX34" i="68" s="1"/>
  <c r="AX39" i="67"/>
  <c r="AX40" i="67" s="1"/>
  <c r="AX41" i="67" s="1"/>
  <c r="AX42" i="67" s="1"/>
  <c r="AY30" i="68"/>
  <c r="AY31" i="68" s="1"/>
  <c r="AY32" i="68" s="1"/>
  <c r="AY33" i="68" s="1"/>
  <c r="AY34" i="68" s="1"/>
  <c r="BJ42" i="68" l="1"/>
  <c r="AV40" i="67"/>
  <c r="AK108" i="29"/>
  <c r="AM107" i="29"/>
  <c r="AO116" i="29"/>
  <c r="AK97" i="29"/>
  <c r="AM68" i="66"/>
  <c r="AK67" i="66"/>
  <c r="AK68" i="66" s="1"/>
  <c r="AL67" i="66"/>
  <c r="AL68" i="66" s="1"/>
  <c r="AQ74" i="28"/>
  <c r="AR90" i="29"/>
  <c r="AY39" i="67"/>
  <c r="AY40" i="67" s="1"/>
  <c r="AY41" i="67" s="1"/>
  <c r="AY42" i="67" s="1"/>
  <c r="AZ30" i="68"/>
  <c r="AZ31" i="68" s="1"/>
  <c r="AZ32" i="68" s="1"/>
  <c r="AZ33" i="68" s="1"/>
  <c r="AZ34" i="68" s="1"/>
  <c r="BZ33" i="68"/>
  <c r="BV33" i="68" s="1"/>
  <c r="BU41" i="67"/>
  <c r="AI99" i="29"/>
  <c r="AL101" i="29"/>
  <c r="AT39" i="67"/>
  <c r="AU30" i="68"/>
  <c r="AM110" i="28"/>
  <c r="AT43" i="68"/>
  <c r="BZ42" i="68"/>
  <c r="BV42" i="68" s="1"/>
  <c r="BU59" i="67"/>
  <c r="AB720" i="30"/>
  <c r="AB559" i="31"/>
  <c r="AW31" i="68"/>
  <c r="AV30" i="68"/>
  <c r="BN59" i="67"/>
  <c r="BN41" i="67"/>
  <c r="AL69" i="66"/>
  <c r="AK69" i="66"/>
  <c r="AP39" i="67"/>
  <c r="AO38" i="67"/>
  <c r="AQ30" i="68"/>
  <c r="BO32" i="68"/>
  <c r="AM101" i="28"/>
  <c r="AK111" i="28"/>
  <c r="AK90" i="28"/>
  <c r="BJ43" i="68"/>
  <c r="AR39" i="67"/>
  <c r="AR40" i="67" s="1"/>
  <c r="AR41" i="67" s="1"/>
  <c r="AR42" i="67" s="1"/>
  <c r="AS30" i="68"/>
  <c r="AS31" i="68" s="1"/>
  <c r="AS32" i="68" s="1"/>
  <c r="AS33" i="68" s="1"/>
  <c r="AS34" i="68" s="1"/>
  <c r="BO41" i="68"/>
  <c r="BY60" i="67"/>
  <c r="BY42" i="67"/>
  <c r="BH38" i="67"/>
  <c r="AS38" i="67" s="1"/>
  <c r="AN57" i="28"/>
  <c r="AO57" i="28" s="1"/>
  <c r="AP57" i="28" s="1"/>
  <c r="AQ57" i="28" s="1"/>
  <c r="AJ101" i="28"/>
  <c r="AJ110" i="28"/>
  <c r="AL110" i="28" s="1"/>
  <c r="AD73" i="16"/>
  <c r="AD31" i="16" s="1"/>
  <c r="AD27" i="16" s="1"/>
  <c r="AD44" i="16"/>
  <c r="BD39" i="67"/>
  <c r="BD40" i="67" s="1"/>
  <c r="BD41" i="67" s="1"/>
  <c r="BD42" i="67" s="1"/>
  <c r="BE30" i="68"/>
  <c r="BE31" i="68" s="1"/>
  <c r="BE32" i="68" s="1"/>
  <c r="BE33" i="68" s="1"/>
  <c r="BE34" i="68" s="1"/>
  <c r="AN47" i="28" l="1"/>
  <c r="AO47" i="28" s="1"/>
  <c r="AP47" i="28" s="1"/>
  <c r="AQ47" i="28" s="1"/>
  <c r="AN52" i="28"/>
  <c r="AO52" i="28" s="1"/>
  <c r="AP52" i="28" s="1"/>
  <c r="AQ52" i="28" s="1"/>
  <c r="AJ111" i="28"/>
  <c r="AJ90" i="28"/>
  <c r="AV31" i="68"/>
  <c r="AW32" i="68"/>
  <c r="AN38" i="28"/>
  <c r="BZ34" i="68"/>
  <c r="BV34" i="68" s="1"/>
  <c r="BU42" i="67"/>
  <c r="AN44" i="28"/>
  <c r="AN36" i="28"/>
  <c r="AM90" i="28"/>
  <c r="AL90" i="28"/>
  <c r="AP40" i="67"/>
  <c r="AO39" i="67"/>
  <c r="BO33" i="68"/>
  <c r="AN37" i="28"/>
  <c r="AO37" i="28" s="1"/>
  <c r="AP37" i="28" s="1"/>
  <c r="AQ37" i="28" s="1"/>
  <c r="AN45" i="28"/>
  <c r="AO45" i="28" s="1"/>
  <c r="AP45" i="28" s="1"/>
  <c r="AQ45" i="28" s="1"/>
  <c r="AT40" i="67"/>
  <c r="AN46" i="28"/>
  <c r="AO46" i="28" s="1"/>
  <c r="AP46" i="28" s="1"/>
  <c r="AQ46" i="28" s="1"/>
  <c r="BI38" i="67"/>
  <c r="AN54" i="28"/>
  <c r="AO54" i="28" s="1"/>
  <c r="AP54" i="28" s="1"/>
  <c r="AQ54" i="28" s="1"/>
  <c r="AN51" i="28"/>
  <c r="AO51" i="28" s="1"/>
  <c r="AP51" i="28" s="1"/>
  <c r="AQ51" i="28" s="1"/>
  <c r="BZ43" i="68"/>
  <c r="BV43" i="68" s="1"/>
  <c r="BU60" i="67"/>
  <c r="AN56" i="28"/>
  <c r="AO56" i="28" s="1"/>
  <c r="AP56" i="28" s="1"/>
  <c r="AQ56" i="28" s="1"/>
  <c r="AM111" i="28"/>
  <c r="AL111" i="28"/>
  <c r="BO42" i="68"/>
  <c r="AN42" i="28"/>
  <c r="AL99" i="29"/>
  <c r="AI107" i="29"/>
  <c r="BT57" i="67"/>
  <c r="BT39" i="67"/>
  <c r="AV41" i="67"/>
  <c r="AU40" i="67"/>
  <c r="AN48" i="28"/>
  <c r="AO48" i="28" s="1"/>
  <c r="AP48" i="28" s="1"/>
  <c r="AQ48" i="28" s="1"/>
  <c r="AN49" i="28"/>
  <c r="AO49" i="28" s="1"/>
  <c r="AP49" i="28" s="1"/>
  <c r="AQ49" i="28" s="1"/>
  <c r="BH39" i="67"/>
  <c r="BH40" i="67" s="1"/>
  <c r="BH41" i="67" s="1"/>
  <c r="BH42" i="67" s="1"/>
  <c r="BI30" i="68"/>
  <c r="BI31" i="68" s="1"/>
  <c r="BI32" i="68" s="1"/>
  <c r="BI33" i="68" s="1"/>
  <c r="BI34" i="68" s="1"/>
  <c r="BN60" i="67"/>
  <c r="BN42" i="67"/>
  <c r="AN55" i="28"/>
  <c r="AO55" i="28" s="1"/>
  <c r="AP55" i="28" s="1"/>
  <c r="AQ55" i="28" s="1"/>
  <c r="AL101" i="28"/>
  <c r="AP30" i="68"/>
  <c r="AQ31" i="68"/>
  <c r="AU31" i="68"/>
  <c r="AN50" i="28"/>
  <c r="AO50" i="28" s="1"/>
  <c r="AP50" i="28" s="1"/>
  <c r="AQ50" i="28" s="1"/>
  <c r="AU39" i="67"/>
  <c r="AS39" i="67" s="1"/>
  <c r="BO34" i="68" l="1"/>
  <c r="AP41" i="67"/>
  <c r="AO40" i="67"/>
  <c r="AN35" i="28"/>
  <c r="AO36" i="28"/>
  <c r="AN40" i="28"/>
  <c r="AO38" i="28"/>
  <c r="AW33" i="68"/>
  <c r="AV32" i="68"/>
  <c r="AT30" i="68"/>
  <c r="BJ30" i="68" s="1"/>
  <c r="CI38" i="67"/>
  <c r="AM63" i="66"/>
  <c r="AM66" i="66"/>
  <c r="AV42" i="67"/>
  <c r="AU42" i="67" s="1"/>
  <c r="AU41" i="67"/>
  <c r="BO43" i="68"/>
  <c r="AP31" i="68"/>
  <c r="AQ32" i="68"/>
  <c r="BU31" i="68"/>
  <c r="CH31" i="68" s="1"/>
  <c r="CG39" i="67"/>
  <c r="AI108" i="29"/>
  <c r="AI97" i="29"/>
  <c r="AL107" i="29"/>
  <c r="AT41" i="67"/>
  <c r="AS40" i="67"/>
  <c r="AI502" i="30"/>
  <c r="AN43" i="28"/>
  <c r="AN41" i="28" s="1"/>
  <c r="AO44" i="28"/>
  <c r="AO89" i="29"/>
  <c r="AO98" i="29" s="1"/>
  <c r="AO107" i="29" s="1"/>
  <c r="AN73" i="28"/>
  <c r="AN91" i="28" s="1"/>
  <c r="BT40" i="67"/>
  <c r="BT58" i="67"/>
  <c r="AU32" i="68"/>
  <c r="AT31" i="68"/>
  <c r="BU40" i="68"/>
  <c r="CH40" i="68" s="1"/>
  <c r="CK40" i="68" s="1"/>
  <c r="CG57" i="67"/>
  <c r="CK57" i="67" s="1"/>
  <c r="CF57" i="67" s="1"/>
  <c r="AO42" i="28"/>
  <c r="BI39" i="67"/>
  <c r="CM40" i="68" l="1"/>
  <c r="CN40" i="68" s="1"/>
  <c r="CO40" i="68"/>
  <c r="CG40" i="68"/>
  <c r="AI899" i="30"/>
  <c r="AI739" i="31"/>
  <c r="AH502" i="30"/>
  <c r="AB489" i="30"/>
  <c r="AP42" i="28"/>
  <c r="AO41" i="28"/>
  <c r="CL58" i="67"/>
  <c r="CL40" i="67"/>
  <c r="AO43" i="28"/>
  <c r="AP44" i="28"/>
  <c r="AS41" i="67"/>
  <c r="AT42" i="67"/>
  <c r="AS42" i="67" s="1"/>
  <c r="AP32" i="68"/>
  <c r="AQ33" i="68"/>
  <c r="AW34" i="68"/>
  <c r="AV34" i="68" s="1"/>
  <c r="AV33" i="68"/>
  <c r="AO35" i="28"/>
  <c r="AO58" i="28" s="1"/>
  <c r="AP36" i="28"/>
  <c r="AJ907" i="30"/>
  <c r="CK39" i="67"/>
  <c r="CF39" i="67" s="1"/>
  <c r="BJ31" i="68"/>
  <c r="AL63" i="66"/>
  <c r="AK63" i="66"/>
  <c r="AM78" i="66"/>
  <c r="AM77" i="66"/>
  <c r="AP38" i="28"/>
  <c r="AO40" i="28"/>
  <c r="BT59" i="67"/>
  <c r="BT41" i="67"/>
  <c r="AN58" i="28"/>
  <c r="AN100" i="28" s="1"/>
  <c r="AO73" i="28"/>
  <c r="AO91" i="28" s="1"/>
  <c r="AP89" i="29"/>
  <c r="AP98" i="29" s="1"/>
  <c r="AP107" i="29" s="1"/>
  <c r="AJ502" i="30"/>
  <c r="AT32" i="68"/>
  <c r="AU33" i="68"/>
  <c r="BU32" i="68"/>
  <c r="CH32" i="68" s="1"/>
  <c r="CG40" i="67"/>
  <c r="CK40" i="67" s="1"/>
  <c r="CF40" i="67" s="1"/>
  <c r="CK31" i="68"/>
  <c r="CL57" i="67"/>
  <c r="CM57" i="67" s="1"/>
  <c r="CL39" i="67"/>
  <c r="CM39" i="67" s="1"/>
  <c r="BI40" i="67"/>
  <c r="BU41" i="68"/>
  <c r="CH41" i="68" s="1"/>
  <c r="CK41" i="68" s="1"/>
  <c r="CG58" i="67"/>
  <c r="CK58" i="67" s="1"/>
  <c r="CF58" i="67" s="1"/>
  <c r="CL56" i="67"/>
  <c r="CM56" i="67" s="1"/>
  <c r="CL38" i="67"/>
  <c r="AM88" i="66"/>
  <c r="AO109" i="29"/>
  <c r="AO110" i="29" s="1"/>
  <c r="AO108" i="29"/>
  <c r="AO97" i="29"/>
  <c r="CI30" i="68"/>
  <c r="CK30" i="68" s="1"/>
  <c r="CK38" i="67"/>
  <c r="CF38" i="67" s="1"/>
  <c r="AO41" i="67"/>
  <c r="BI41" i="67" s="1"/>
  <c r="AP42" i="67"/>
  <c r="AO42" i="67" s="1"/>
  <c r="BI42" i="67" s="1"/>
  <c r="CO41" i="68" l="1"/>
  <c r="CM41" i="68"/>
  <c r="CN41" i="68" s="1"/>
  <c r="CG41" i="68"/>
  <c r="AP108" i="29"/>
  <c r="AP109" i="29"/>
  <c r="AP110" i="29" s="1"/>
  <c r="AP97" i="29"/>
  <c r="BU33" i="68"/>
  <c r="CH33" i="68" s="1"/>
  <c r="CG41" i="67"/>
  <c r="CK41" i="67" s="1"/>
  <c r="CF41" i="67" s="1"/>
  <c r="AM86" i="66"/>
  <c r="AM84" i="66"/>
  <c r="AO100" i="28"/>
  <c r="AP73" i="28"/>
  <c r="AP91" i="28" s="1"/>
  <c r="AQ89" i="29"/>
  <c r="AQ98" i="29" s="1"/>
  <c r="AQ107" i="29" s="1"/>
  <c r="BU42" i="68"/>
  <c r="CH42" i="68" s="1"/>
  <c r="CK42" i="68" s="1"/>
  <c r="CG59" i="67"/>
  <c r="CK59" i="67" s="1"/>
  <c r="CF59" i="67" s="1"/>
  <c r="AP33" i="68"/>
  <c r="AQ34" i="68"/>
  <c r="AP34" i="68" s="1"/>
  <c r="AP41" i="28"/>
  <c r="AQ42" i="28"/>
  <c r="BT60" i="67"/>
  <c r="BT42" i="67"/>
  <c r="CO31" i="68"/>
  <c r="CM31" i="68"/>
  <c r="CN31" i="68" s="1"/>
  <c r="CG31" i="68"/>
  <c r="AL88" i="66"/>
  <c r="AM90" i="66"/>
  <c r="AK88" i="66"/>
  <c r="AN101" i="28"/>
  <c r="AN110" i="28"/>
  <c r="AK66" i="66"/>
  <c r="AK77" i="66" s="1"/>
  <c r="AK78" i="66"/>
  <c r="BJ32" i="68"/>
  <c r="CK32" i="68" s="1"/>
  <c r="AQ44" i="28"/>
  <c r="AQ43" i="28" s="1"/>
  <c r="AP43" i="28"/>
  <c r="CM40" i="67"/>
  <c r="CM30" i="68"/>
  <c r="CN30" i="68" s="1"/>
  <c r="CO30" i="68"/>
  <c r="CG30" i="68"/>
  <c r="AK502" i="30"/>
  <c r="CM38" i="67"/>
  <c r="AT33" i="68"/>
  <c r="AU34" i="68"/>
  <c r="AT34" i="68" s="1"/>
  <c r="CL59" i="67"/>
  <c r="CL41" i="67"/>
  <c r="CM41" i="67" s="1"/>
  <c r="AP40" i="28"/>
  <c r="AQ38" i="28"/>
  <c r="AQ40" i="28" s="1"/>
  <c r="AL66" i="66"/>
  <c r="AL78" i="66" s="1"/>
  <c r="AQ36" i="28"/>
  <c r="AQ35" i="28" s="1"/>
  <c r="AP35" i="28"/>
  <c r="AP58" i="28" s="1"/>
  <c r="AP100" i="28" s="1"/>
  <c r="CM58" i="67"/>
  <c r="CM59" i="67" l="1"/>
  <c r="CM32" i="68"/>
  <c r="CN32" i="68" s="1"/>
  <c r="CO32" i="68"/>
  <c r="CG32" i="68"/>
  <c r="AL77" i="66"/>
  <c r="AK907" i="30"/>
  <c r="AI907" i="30"/>
  <c r="AI747" i="31"/>
  <c r="AK90" i="66"/>
  <c r="CL60" i="67"/>
  <c r="CL42" i="67"/>
  <c r="AQ41" i="28"/>
  <c r="AQ58" i="28" s="1"/>
  <c r="AQ100" i="28" s="1"/>
  <c r="BJ34" i="68"/>
  <c r="AK86" i="66"/>
  <c r="AK84" i="66"/>
  <c r="AN111" i="28"/>
  <c r="AN90" i="28"/>
  <c r="BU34" i="68"/>
  <c r="CH34" i="68" s="1"/>
  <c r="CK34" i="68" s="1"/>
  <c r="CG42" i="67"/>
  <c r="CK42" i="67" s="1"/>
  <c r="CF42" i="67" s="1"/>
  <c r="AR89" i="29"/>
  <c r="AR98" i="29" s="1"/>
  <c r="AR107" i="29" s="1"/>
  <c r="AQ73" i="28"/>
  <c r="AQ91" i="28" s="1"/>
  <c r="BJ33" i="68"/>
  <c r="CK33" i="68" s="1"/>
  <c r="CO42" i="68"/>
  <c r="CM42" i="68"/>
  <c r="CN42" i="68" s="1"/>
  <c r="CG42" i="68"/>
  <c r="AO101" i="28"/>
  <c r="AO110" i="28"/>
  <c r="AL502" i="30"/>
  <c r="AL90" i="66"/>
  <c r="BU43" i="68"/>
  <c r="CH43" i="68" s="1"/>
  <c r="CK43" i="68" s="1"/>
  <c r="CG60" i="67"/>
  <c r="CK60" i="67" s="1"/>
  <c r="CF60" i="67" s="1"/>
  <c r="AP101" i="28"/>
  <c r="AP110" i="28"/>
  <c r="AQ108" i="29"/>
  <c r="AQ109" i="29"/>
  <c r="AQ110" i="29" s="1"/>
  <c r="AQ97" i="29"/>
  <c r="AQ101" i="28" l="1"/>
  <c r="AQ110" i="28"/>
  <c r="CM34" i="68"/>
  <c r="CN34" i="68" s="1"/>
  <c r="CO34" i="68"/>
  <c r="CG34" i="68"/>
  <c r="AP111" i="28"/>
  <c r="AP90" i="28"/>
  <c r="CM33" i="68"/>
  <c r="CN33" i="68" s="1"/>
  <c r="CO33" i="68"/>
  <c r="CG33" i="68"/>
  <c r="CM42" i="67"/>
  <c r="AL84" i="66"/>
  <c r="AL86" i="66"/>
  <c r="AL907" i="30"/>
  <c r="CO43" i="68"/>
  <c r="CM43" i="68"/>
  <c r="CN43" i="68" s="1"/>
  <c r="CG43" i="68"/>
  <c r="AR108" i="29"/>
  <c r="AR109" i="29"/>
  <c r="AR110" i="29" s="1"/>
  <c r="AR97" i="29"/>
  <c r="CM60" i="67"/>
  <c r="AO111" i="28"/>
  <c r="AO90" i="28"/>
  <c r="AI738" i="31"/>
  <c r="AI898" i="30"/>
  <c r="AQ111" i="28" l="1"/>
  <c r="AQ9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06" authorId="0" shapeId="0" xr:uid="{00000000-0006-0000-3800-000001000000}">
      <text>
        <r>
          <rPr>
            <sz val="9"/>
            <color indexed="81"/>
            <rFont val="Tahoma"/>
            <family val="2"/>
          </rPr>
          <t>Необходимо указать организацию-поставщика</t>
        </r>
      </text>
    </comment>
    <comment ref="P117" authorId="0" shapeId="0" xr:uid="{00000000-0006-0000-3800-000002000000}">
      <text>
        <r>
          <rPr>
            <sz val="9"/>
            <color indexed="81"/>
            <rFont val="Tahoma"/>
            <family val="2"/>
          </rPr>
          <t>Укажите тип напряжения</t>
        </r>
      </text>
    </comment>
    <comment ref="P134" authorId="0" shapeId="0" xr:uid="{00000000-0006-0000-3800-000003000000}">
      <text>
        <r>
          <rPr>
            <sz val="9"/>
            <color indexed="81"/>
            <rFont val="Tahoma"/>
            <family val="2"/>
          </rPr>
          <t>Укажите тип напряжения</t>
        </r>
      </text>
    </comment>
    <comment ref="G336" authorId="0" shapeId="0" xr:uid="{00000000-0006-0000-3800-000004000000}">
      <text>
        <r>
          <rPr>
            <sz val="9"/>
            <color indexed="81"/>
            <rFont val="Arial"/>
            <family val="2"/>
          </rPr>
          <t xml:space="preserve">Материал опоры
</t>
        </r>
      </text>
    </comment>
    <comment ref="G337" authorId="0" shapeId="0" xr:uid="{00000000-0006-0000-3800-000005000000}">
      <text>
        <r>
          <rPr>
            <sz val="9"/>
            <color indexed="81"/>
            <rFont val="Arial"/>
            <family val="2"/>
          </rPr>
          <t xml:space="preserve">Тип провода
</t>
        </r>
      </text>
    </comment>
    <comment ref="G338" authorId="0" shapeId="0" xr:uid="{00000000-0006-0000-3800-000006000000}">
      <text>
        <r>
          <rPr>
            <sz val="9"/>
            <color indexed="81"/>
            <rFont val="Arial"/>
            <family val="2"/>
          </rPr>
          <t xml:space="preserve">Материал провода 
</t>
        </r>
      </text>
    </comment>
    <comment ref="G339" authorId="0" shapeId="0" xr:uid="{00000000-0006-0000-3800-000007000000}">
      <text>
        <r>
          <rPr>
            <sz val="9"/>
            <color indexed="81"/>
            <rFont val="Arial"/>
            <family val="2"/>
          </rPr>
          <t xml:space="preserve">Сечение провода
</t>
        </r>
      </text>
    </comment>
    <comment ref="G340" authorId="0" shapeId="0" xr:uid="{00000000-0006-0000-3800-000008000000}">
      <text>
        <r>
          <rPr>
            <sz val="9"/>
            <color indexed="81"/>
            <rFont val="Arial"/>
            <family val="2"/>
          </rPr>
          <t xml:space="preserve">Количество цепей
</t>
        </r>
      </text>
    </comment>
    <comment ref="G344" authorId="0" shapeId="0" xr:uid="{00000000-0006-0000-3800-000009000000}">
      <text>
        <r>
          <rPr>
            <sz val="9"/>
            <color indexed="81"/>
            <rFont val="Arial"/>
            <family val="2"/>
          </rPr>
          <t xml:space="preserve">Способ прокладки кабельных линий 
</t>
        </r>
      </text>
    </comment>
    <comment ref="G345" authorId="0" shapeId="0" xr:uid="{00000000-0006-0000-3800-00000A000000}">
      <text>
        <r>
          <rPr>
            <sz val="9"/>
            <color indexed="81"/>
            <rFont val="Arial"/>
            <family val="2"/>
          </rPr>
          <t xml:space="preserve">Тип провода
</t>
        </r>
      </text>
    </comment>
    <comment ref="G346" authorId="0" shapeId="0" xr:uid="{00000000-0006-0000-3800-00000B000000}">
      <text>
        <r>
          <rPr>
            <sz val="9"/>
            <color indexed="81"/>
            <rFont val="Arial"/>
            <family val="2"/>
          </rPr>
          <t xml:space="preserve">Тип изоляции 
</t>
        </r>
      </text>
    </comment>
    <comment ref="G347" authorId="0" shapeId="0" xr:uid="{00000000-0006-0000-3800-00000C000000}">
      <text>
        <r>
          <rPr>
            <sz val="9"/>
            <color indexed="81"/>
            <rFont val="Arial"/>
            <family val="2"/>
          </rPr>
          <t xml:space="preserve">Сечение провода
</t>
        </r>
      </text>
    </comment>
    <comment ref="G348" authorId="0" shapeId="0" xr:uid="{00000000-0006-0000-3800-00000D000000}">
      <text>
        <r>
          <rPr>
            <sz val="9"/>
            <color indexed="81"/>
            <rFont val="Arial"/>
            <family val="2"/>
          </rPr>
          <t xml:space="preserve">Количество кабелей
</t>
        </r>
      </text>
    </comment>
    <comment ref="G352" authorId="0" shapeId="0" xr:uid="{00000000-0006-0000-3800-00000E000000}">
      <text>
        <r>
          <rPr>
            <sz val="9"/>
            <color indexed="81"/>
            <rFont val="Arial"/>
            <family val="2"/>
          </rPr>
          <t xml:space="preserve">Тип оборудования
</t>
        </r>
      </text>
    </comment>
    <comment ref="G353" authorId="0" shapeId="0" xr:uid="{00000000-0006-0000-3800-00000F000000}">
      <text>
        <r>
          <rPr>
            <sz val="9"/>
            <color indexed="81"/>
            <rFont val="Arial"/>
            <family val="2"/>
          </rPr>
          <t xml:space="preserve">Номинальный ток
</t>
        </r>
      </text>
    </comment>
    <comment ref="G354" authorId="0" shapeId="0" xr:uid="{00000000-0006-0000-3800-000010000000}">
      <text>
        <r>
          <rPr>
            <sz val="9"/>
            <color indexed="81"/>
            <rFont val="Arial"/>
            <family val="2"/>
          </rPr>
          <t xml:space="preserve">Количество ячеек в распределительном
</t>
        </r>
      </text>
    </comment>
    <comment ref="G358" authorId="0" shapeId="0" xr:uid="{00000000-0006-0000-3800-000011000000}">
      <text>
        <r>
          <rPr>
            <sz val="9"/>
            <color indexed="81"/>
            <rFont val="Arial"/>
            <family val="2"/>
          </rPr>
          <t xml:space="preserve">Напряжение
</t>
        </r>
      </text>
    </comment>
    <comment ref="G359" authorId="0" shapeId="0" xr:uid="{00000000-0006-0000-3800-000012000000}">
      <text>
        <r>
          <rPr>
            <sz val="9"/>
            <color indexed="81"/>
            <rFont val="Arial"/>
            <family val="2"/>
          </rPr>
          <t xml:space="preserve">Количество трансформаторов
</t>
        </r>
      </text>
    </comment>
    <comment ref="G360" authorId="0" shapeId="0" xr:uid="{00000000-0006-0000-3800-000013000000}">
      <text>
        <r>
          <rPr>
            <sz val="9"/>
            <color indexed="81"/>
            <rFont val="Arial"/>
            <family val="2"/>
          </rPr>
          <t xml:space="preserve">Мощность трансформатора
</t>
        </r>
      </text>
    </comment>
    <comment ref="G361" authorId="0" shapeId="0" xr:uid="{00000000-0006-0000-3800-000014000000}">
      <text>
        <r>
          <rPr>
            <sz val="9"/>
            <color indexed="81"/>
            <rFont val="Arial"/>
            <family val="2"/>
          </rPr>
          <t xml:space="preserve">Тип
</t>
        </r>
      </text>
    </comment>
    <comment ref="G365" authorId="0" shapeId="0" xr:uid="{00000000-0006-0000-3800-000015000000}">
      <text>
        <r>
          <rPr>
            <sz val="9"/>
            <color indexed="81"/>
            <rFont val="Arial"/>
            <family val="2"/>
          </rPr>
          <t xml:space="preserve">Напряжение
</t>
        </r>
      </text>
    </comment>
    <comment ref="G366" authorId="0" shapeId="0" xr:uid="{00000000-0006-0000-3800-000016000000}">
      <text>
        <r>
          <rPr>
            <sz val="9"/>
            <color indexed="81"/>
            <rFont val="Arial"/>
            <family val="2"/>
          </rPr>
          <t xml:space="preserve">Количество трансформаторов
</t>
        </r>
      </text>
    </comment>
    <comment ref="G367" authorId="0" shapeId="0" xr:uid="{00000000-0006-0000-3800-000017000000}">
      <text>
        <r>
          <rPr>
            <sz val="9"/>
            <color indexed="81"/>
            <rFont val="Arial"/>
            <family val="2"/>
          </rPr>
          <t xml:space="preserve">Мощность трансформатора
</t>
        </r>
      </text>
    </comment>
    <comment ref="G368" authorId="0" shapeId="0" xr:uid="{00000000-0006-0000-3800-000018000000}">
      <text>
        <r>
          <rPr>
            <sz val="9"/>
            <color indexed="81"/>
            <rFont val="Arial"/>
            <family val="2"/>
          </rPr>
          <t xml:space="preserve">Тип
</t>
        </r>
      </text>
    </comment>
    <comment ref="G372" authorId="0" shapeId="0" xr:uid="{00000000-0006-0000-3800-000019000000}">
      <text>
        <r>
          <rPr>
            <sz val="9"/>
            <color indexed="81"/>
            <rFont val="Arial"/>
            <family val="2"/>
          </rPr>
          <t xml:space="preserve">Напряжение
</t>
        </r>
      </text>
    </comment>
    <comment ref="G373" authorId="0" shapeId="0" xr:uid="{00000000-0006-0000-3800-00001A000000}">
      <text>
        <r>
          <rPr>
            <sz val="9"/>
            <color indexed="81"/>
            <rFont val="Arial"/>
            <family val="2"/>
          </rPr>
          <t xml:space="preserve">Количество трансформаторов
</t>
        </r>
      </text>
    </comment>
    <comment ref="G374" authorId="0" shapeId="0" xr:uid="{00000000-0006-0000-3800-00001B000000}">
      <text>
        <r>
          <rPr>
            <sz val="9"/>
            <color indexed="81"/>
            <rFont val="Arial"/>
            <family val="2"/>
          </rPr>
          <t xml:space="preserve">Мощность трансформатора
</t>
        </r>
      </text>
    </comment>
    <comment ref="G375" authorId="0" shapeId="0" xr:uid="{00000000-0006-0000-3800-00001C000000}">
      <text>
        <r>
          <rPr>
            <sz val="9"/>
            <color indexed="81"/>
            <rFont val="Arial"/>
            <family val="2"/>
          </rPr>
          <t xml:space="preserve">Тип
</t>
        </r>
      </text>
    </comment>
    <comment ref="G379" authorId="0" shapeId="0" xr:uid="{00000000-0006-0000-3800-00001D000000}">
      <text>
        <r>
          <rPr>
            <sz val="9"/>
            <color indexed="81"/>
            <rFont val="Arial"/>
            <family val="2"/>
          </rPr>
          <t xml:space="preserve">Тип ПУ
</t>
        </r>
      </text>
    </comment>
    <comment ref="G380" authorId="0" shapeId="0" xr:uid="{00000000-0006-0000-3800-00001E000000}">
      <text>
        <r>
          <rPr>
            <sz val="9"/>
            <color indexed="81"/>
            <rFont val="Arial"/>
            <family val="2"/>
          </rPr>
          <t xml:space="preserve">Тип включения ПУ
</t>
        </r>
      </text>
    </comment>
    <comment ref="G384" authorId="0" shapeId="0" xr:uid="{00000000-0006-0000-3800-00001F000000}">
      <text>
        <r>
          <rPr>
            <sz val="9"/>
            <color indexed="81"/>
            <rFont val="Arial"/>
            <family val="2"/>
          </rPr>
          <t xml:space="preserve">Материал опоры
</t>
        </r>
      </text>
    </comment>
    <comment ref="G385" authorId="0" shapeId="0" xr:uid="{00000000-0006-0000-3800-000020000000}">
      <text>
        <r>
          <rPr>
            <sz val="9"/>
            <color indexed="81"/>
            <rFont val="Arial"/>
            <family val="2"/>
          </rPr>
          <t xml:space="preserve">Тип провода
</t>
        </r>
      </text>
    </comment>
    <comment ref="G386" authorId="0" shapeId="0" xr:uid="{00000000-0006-0000-3800-000021000000}">
      <text>
        <r>
          <rPr>
            <sz val="9"/>
            <color indexed="81"/>
            <rFont val="Arial"/>
            <family val="2"/>
          </rPr>
          <t xml:space="preserve">Материал провода 
</t>
        </r>
      </text>
    </comment>
    <comment ref="G387" authorId="0" shapeId="0" xr:uid="{00000000-0006-0000-3800-000022000000}">
      <text>
        <r>
          <rPr>
            <sz val="9"/>
            <color indexed="81"/>
            <rFont val="Arial"/>
            <family val="2"/>
          </rPr>
          <t xml:space="preserve">Сечение провода
</t>
        </r>
      </text>
    </comment>
    <comment ref="G388" authorId="0" shapeId="0" xr:uid="{00000000-0006-0000-3800-000023000000}">
      <text>
        <r>
          <rPr>
            <sz val="9"/>
            <color indexed="81"/>
            <rFont val="Arial"/>
            <family val="2"/>
          </rPr>
          <t xml:space="preserve">Количество цепей
</t>
        </r>
      </text>
    </comment>
    <comment ref="G392" authorId="0" shapeId="0" xr:uid="{00000000-0006-0000-3800-000024000000}">
      <text>
        <r>
          <rPr>
            <sz val="9"/>
            <color indexed="81"/>
            <rFont val="Arial"/>
            <family val="2"/>
          </rPr>
          <t xml:space="preserve">Способ прокладки кабельных линий 
</t>
        </r>
      </text>
    </comment>
    <comment ref="G393" authorId="0" shapeId="0" xr:uid="{00000000-0006-0000-3800-000025000000}">
      <text>
        <r>
          <rPr>
            <sz val="9"/>
            <color indexed="81"/>
            <rFont val="Arial"/>
            <family val="2"/>
          </rPr>
          <t xml:space="preserve">Тип провода
</t>
        </r>
      </text>
    </comment>
    <comment ref="G394" authorId="0" shapeId="0" xr:uid="{00000000-0006-0000-3800-000026000000}">
      <text>
        <r>
          <rPr>
            <sz val="9"/>
            <color indexed="81"/>
            <rFont val="Arial"/>
            <family val="2"/>
          </rPr>
          <t xml:space="preserve">Тип изоляции 
</t>
        </r>
      </text>
    </comment>
    <comment ref="G395" authorId="0" shapeId="0" xr:uid="{00000000-0006-0000-3800-000027000000}">
      <text>
        <r>
          <rPr>
            <sz val="9"/>
            <color indexed="81"/>
            <rFont val="Arial"/>
            <family val="2"/>
          </rPr>
          <t xml:space="preserve">Сечение провода
</t>
        </r>
      </text>
    </comment>
    <comment ref="G396" authorId="0" shapeId="0" xr:uid="{00000000-0006-0000-3800-000028000000}">
      <text>
        <r>
          <rPr>
            <sz val="9"/>
            <color indexed="81"/>
            <rFont val="Arial"/>
            <family val="2"/>
          </rPr>
          <t xml:space="preserve">Количество кабелей
</t>
        </r>
      </text>
    </comment>
    <comment ref="G400" authorId="0" shapeId="0" xr:uid="{00000000-0006-0000-3800-000029000000}">
      <text>
        <r>
          <rPr>
            <sz val="9"/>
            <color indexed="81"/>
            <rFont val="Arial"/>
            <family val="2"/>
          </rPr>
          <t xml:space="preserve">Тип оборудования
</t>
        </r>
      </text>
    </comment>
    <comment ref="G401" authorId="0" shapeId="0" xr:uid="{00000000-0006-0000-3800-00002A000000}">
      <text>
        <r>
          <rPr>
            <sz val="9"/>
            <color indexed="81"/>
            <rFont val="Arial"/>
            <family val="2"/>
          </rPr>
          <t xml:space="preserve">Номинальный ток
</t>
        </r>
      </text>
    </comment>
    <comment ref="G402" authorId="0" shapeId="0" xr:uid="{00000000-0006-0000-3800-00002B000000}">
      <text>
        <r>
          <rPr>
            <sz val="9"/>
            <color indexed="81"/>
            <rFont val="Arial"/>
            <family val="2"/>
          </rPr>
          <t xml:space="preserve">Количество ячеек в распределительном
</t>
        </r>
      </text>
    </comment>
    <comment ref="G406" authorId="0" shapeId="0" xr:uid="{00000000-0006-0000-3800-00002C000000}">
      <text>
        <r>
          <rPr>
            <sz val="9"/>
            <color indexed="81"/>
            <rFont val="Arial"/>
            <family val="2"/>
          </rPr>
          <t xml:space="preserve">Напряжение
</t>
        </r>
      </text>
    </comment>
    <comment ref="G407" authorId="0" shapeId="0" xr:uid="{00000000-0006-0000-3800-00002D000000}">
      <text>
        <r>
          <rPr>
            <sz val="9"/>
            <color indexed="81"/>
            <rFont val="Arial"/>
            <family val="2"/>
          </rPr>
          <t xml:space="preserve">Количество трансформаторов
</t>
        </r>
      </text>
    </comment>
    <comment ref="G408" authorId="0" shapeId="0" xr:uid="{00000000-0006-0000-3800-00002E000000}">
      <text>
        <r>
          <rPr>
            <sz val="9"/>
            <color indexed="81"/>
            <rFont val="Arial"/>
            <family val="2"/>
          </rPr>
          <t xml:space="preserve">Мощность трансформатора
</t>
        </r>
      </text>
    </comment>
    <comment ref="G409" authorId="0" shapeId="0" xr:uid="{00000000-0006-0000-3800-00002F000000}">
      <text>
        <r>
          <rPr>
            <sz val="9"/>
            <color indexed="81"/>
            <rFont val="Arial"/>
            <family val="2"/>
          </rPr>
          <t xml:space="preserve">Тип
</t>
        </r>
      </text>
    </comment>
    <comment ref="G413" authorId="0" shapeId="0" xr:uid="{00000000-0006-0000-3800-000030000000}">
      <text>
        <r>
          <rPr>
            <sz val="9"/>
            <color indexed="81"/>
            <rFont val="Arial"/>
            <family val="2"/>
          </rPr>
          <t xml:space="preserve">Напряжение
</t>
        </r>
      </text>
    </comment>
    <comment ref="G414" authorId="0" shapeId="0" xr:uid="{00000000-0006-0000-3800-000031000000}">
      <text>
        <r>
          <rPr>
            <sz val="9"/>
            <color indexed="81"/>
            <rFont val="Arial"/>
            <family val="2"/>
          </rPr>
          <t xml:space="preserve">Количество трансформаторов
</t>
        </r>
      </text>
    </comment>
    <comment ref="G415" authorId="0" shapeId="0" xr:uid="{00000000-0006-0000-3800-000032000000}">
      <text>
        <r>
          <rPr>
            <sz val="9"/>
            <color indexed="81"/>
            <rFont val="Arial"/>
            <family val="2"/>
          </rPr>
          <t xml:space="preserve">Мощность трансформатора
</t>
        </r>
      </text>
    </comment>
    <comment ref="G416" authorId="0" shapeId="0" xr:uid="{00000000-0006-0000-3800-000033000000}">
      <text>
        <r>
          <rPr>
            <sz val="9"/>
            <color indexed="81"/>
            <rFont val="Arial"/>
            <family val="2"/>
          </rPr>
          <t xml:space="preserve">Тип
</t>
        </r>
      </text>
    </comment>
    <comment ref="G420" authorId="0" shapeId="0" xr:uid="{00000000-0006-0000-3800-000034000000}">
      <text>
        <r>
          <rPr>
            <sz val="9"/>
            <color indexed="81"/>
            <rFont val="Arial"/>
            <family val="2"/>
          </rPr>
          <t xml:space="preserve">Напряжение
</t>
        </r>
      </text>
    </comment>
    <comment ref="G421" authorId="0" shapeId="0" xr:uid="{00000000-0006-0000-3800-000035000000}">
      <text>
        <r>
          <rPr>
            <sz val="9"/>
            <color indexed="81"/>
            <rFont val="Arial"/>
            <family val="2"/>
          </rPr>
          <t xml:space="preserve">Количество трансформаторов
</t>
        </r>
      </text>
    </comment>
    <comment ref="G422" authorId="0" shapeId="0" xr:uid="{00000000-0006-0000-3800-000036000000}">
      <text>
        <r>
          <rPr>
            <sz val="9"/>
            <color indexed="81"/>
            <rFont val="Arial"/>
            <family val="2"/>
          </rPr>
          <t xml:space="preserve">Мощность трансформатора
</t>
        </r>
      </text>
    </comment>
    <comment ref="G423" authorId="0" shapeId="0" xr:uid="{00000000-0006-0000-3800-000037000000}">
      <text>
        <r>
          <rPr>
            <sz val="9"/>
            <color indexed="81"/>
            <rFont val="Arial"/>
            <family val="2"/>
          </rPr>
          <t xml:space="preserve">Тип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43" authorId="0" shapeId="0" xr:uid="{00000000-0006-0000-3C00-000001000000}">
      <text>
        <r>
          <rPr>
            <sz val="9"/>
            <color indexed="81"/>
            <rFont val="Arial"/>
            <family val="2"/>
          </rPr>
          <t xml:space="preserve">Материал опоры
</t>
        </r>
      </text>
    </comment>
    <comment ref="AD44" authorId="0" shapeId="0" xr:uid="{00000000-0006-0000-3C00-000002000000}">
      <text>
        <r>
          <rPr>
            <sz val="9"/>
            <color indexed="81"/>
            <rFont val="Arial"/>
            <family val="2"/>
          </rPr>
          <t xml:space="preserve">Тип провода
</t>
        </r>
      </text>
    </comment>
    <comment ref="AD45" authorId="0" shapeId="0" xr:uid="{00000000-0006-0000-3C00-000003000000}">
      <text>
        <r>
          <rPr>
            <sz val="9"/>
            <color indexed="81"/>
            <rFont val="Arial"/>
            <family val="2"/>
          </rPr>
          <t xml:space="preserve">Материал провода 
</t>
        </r>
      </text>
    </comment>
    <comment ref="AD46" authorId="0" shapeId="0" xr:uid="{00000000-0006-0000-3C00-000004000000}">
      <text>
        <r>
          <rPr>
            <sz val="9"/>
            <color indexed="81"/>
            <rFont val="Arial"/>
            <family val="2"/>
          </rPr>
          <t xml:space="preserve">Сечение провода
</t>
        </r>
      </text>
    </comment>
    <comment ref="AD47" authorId="0" shapeId="0" xr:uid="{00000000-0006-0000-3C00-000005000000}">
      <text>
        <r>
          <rPr>
            <sz val="9"/>
            <color indexed="81"/>
            <rFont val="Arial"/>
            <family val="2"/>
          </rPr>
          <t xml:space="preserve">Количество цепей
</t>
        </r>
      </text>
    </comment>
    <comment ref="AD50" authorId="0" shapeId="0" xr:uid="{00000000-0006-0000-3C00-000006000000}">
      <text>
        <r>
          <rPr>
            <sz val="9"/>
            <color indexed="81"/>
            <rFont val="Arial"/>
            <family val="2"/>
          </rPr>
          <t xml:space="preserve">Способ прокладки кабельных линий 
</t>
        </r>
      </text>
    </comment>
    <comment ref="AD51" authorId="0" shapeId="0" xr:uid="{00000000-0006-0000-3C00-000007000000}">
      <text>
        <r>
          <rPr>
            <sz val="9"/>
            <color indexed="81"/>
            <rFont val="Arial"/>
            <family val="2"/>
          </rPr>
          <t xml:space="preserve">Тип провода
</t>
        </r>
      </text>
    </comment>
    <comment ref="AD52" authorId="0" shapeId="0" xr:uid="{00000000-0006-0000-3C00-000008000000}">
      <text>
        <r>
          <rPr>
            <sz val="9"/>
            <color indexed="81"/>
            <rFont val="Arial"/>
            <family val="2"/>
          </rPr>
          <t xml:space="preserve">Тип изоляции 
</t>
        </r>
      </text>
    </comment>
    <comment ref="AD53" authorId="0" shapeId="0" xr:uid="{00000000-0006-0000-3C00-000009000000}">
      <text>
        <r>
          <rPr>
            <sz val="9"/>
            <color indexed="81"/>
            <rFont val="Arial"/>
            <family val="2"/>
          </rPr>
          <t xml:space="preserve">Сечение провода
</t>
        </r>
      </text>
    </comment>
    <comment ref="AD54" authorId="0" shapeId="0" xr:uid="{00000000-0006-0000-3C00-00000A000000}">
      <text>
        <r>
          <rPr>
            <sz val="9"/>
            <color indexed="81"/>
            <rFont val="Arial"/>
            <family val="2"/>
          </rPr>
          <t xml:space="preserve">Количество кабелей
</t>
        </r>
      </text>
    </comment>
    <comment ref="AD57" authorId="0" shapeId="0" xr:uid="{00000000-0006-0000-3C00-00000B000000}">
      <text>
        <r>
          <rPr>
            <sz val="9"/>
            <color indexed="81"/>
            <rFont val="Arial"/>
            <family val="2"/>
          </rPr>
          <t xml:space="preserve">Тип оборудования
</t>
        </r>
      </text>
    </comment>
    <comment ref="AD58" authorId="0" shapeId="0" xr:uid="{00000000-0006-0000-3C00-00000C000000}">
      <text>
        <r>
          <rPr>
            <sz val="9"/>
            <color indexed="81"/>
            <rFont val="Arial"/>
            <family val="2"/>
          </rPr>
          <t xml:space="preserve">Номинальный ток
</t>
        </r>
      </text>
    </comment>
    <comment ref="AD59" authorId="0" shapeId="0" xr:uid="{00000000-0006-0000-3C00-00000D000000}">
      <text>
        <r>
          <rPr>
            <sz val="9"/>
            <color indexed="81"/>
            <rFont val="Arial"/>
            <family val="2"/>
          </rPr>
          <t xml:space="preserve">Количество ячеек в распределительном
</t>
        </r>
      </text>
    </comment>
    <comment ref="AD62" authorId="0" shapeId="0" xr:uid="{00000000-0006-0000-3C00-00000E000000}">
      <text>
        <r>
          <rPr>
            <sz val="9"/>
            <color indexed="81"/>
            <rFont val="Arial"/>
            <family val="2"/>
          </rPr>
          <t xml:space="preserve">Напряжение
</t>
        </r>
      </text>
    </comment>
    <comment ref="AD63" authorId="0" shapeId="0" xr:uid="{00000000-0006-0000-3C00-00000F000000}">
      <text>
        <r>
          <rPr>
            <sz val="9"/>
            <color indexed="81"/>
            <rFont val="Arial"/>
            <family val="2"/>
          </rPr>
          <t xml:space="preserve">Количество трансформаторов
</t>
        </r>
      </text>
    </comment>
    <comment ref="AD64" authorId="0" shapeId="0" xr:uid="{00000000-0006-0000-3C00-000010000000}">
      <text>
        <r>
          <rPr>
            <sz val="9"/>
            <color indexed="81"/>
            <rFont val="Arial"/>
            <family val="2"/>
          </rPr>
          <t xml:space="preserve">Мощность трансформатора
</t>
        </r>
      </text>
    </comment>
    <comment ref="AD65" authorId="0" shapeId="0" xr:uid="{00000000-0006-0000-3C00-000011000000}">
      <text>
        <r>
          <rPr>
            <sz val="9"/>
            <color indexed="81"/>
            <rFont val="Arial"/>
            <family val="2"/>
          </rPr>
          <t xml:space="preserve">Тип
</t>
        </r>
      </text>
    </comment>
    <comment ref="AD68" authorId="0" shapeId="0" xr:uid="{00000000-0006-0000-3C00-000012000000}">
      <text>
        <r>
          <rPr>
            <sz val="9"/>
            <color indexed="81"/>
            <rFont val="Arial"/>
            <family val="2"/>
          </rPr>
          <t xml:space="preserve">Напряжение
</t>
        </r>
      </text>
    </comment>
    <comment ref="AD69" authorId="0" shapeId="0" xr:uid="{00000000-0006-0000-3C00-000013000000}">
      <text>
        <r>
          <rPr>
            <sz val="9"/>
            <color indexed="81"/>
            <rFont val="Arial"/>
            <family val="2"/>
          </rPr>
          <t xml:space="preserve">Количество трансформаторов
</t>
        </r>
      </text>
    </comment>
    <comment ref="AD70" authorId="0" shapeId="0" xr:uid="{00000000-0006-0000-3C00-000014000000}">
      <text>
        <r>
          <rPr>
            <sz val="9"/>
            <color indexed="81"/>
            <rFont val="Arial"/>
            <family val="2"/>
          </rPr>
          <t xml:space="preserve">Мощность трансформатора
</t>
        </r>
      </text>
    </comment>
    <comment ref="AD71" authorId="0" shapeId="0" xr:uid="{00000000-0006-0000-3C00-000015000000}">
      <text>
        <r>
          <rPr>
            <sz val="9"/>
            <color indexed="81"/>
            <rFont val="Arial"/>
            <family val="2"/>
          </rPr>
          <t xml:space="preserve">Тип
</t>
        </r>
      </text>
    </comment>
    <comment ref="AD74" authorId="0" shapeId="0" xr:uid="{00000000-0006-0000-3C00-000016000000}">
      <text>
        <r>
          <rPr>
            <sz val="9"/>
            <color indexed="81"/>
            <rFont val="Arial"/>
            <family val="2"/>
          </rPr>
          <t xml:space="preserve">Напряжение
</t>
        </r>
      </text>
    </comment>
    <comment ref="AD75" authorId="0" shapeId="0" xr:uid="{00000000-0006-0000-3C00-000017000000}">
      <text>
        <r>
          <rPr>
            <sz val="9"/>
            <color indexed="81"/>
            <rFont val="Arial"/>
            <family val="2"/>
          </rPr>
          <t xml:space="preserve">Количество трансформаторов
</t>
        </r>
      </text>
    </comment>
    <comment ref="AD76" authorId="0" shapeId="0" xr:uid="{00000000-0006-0000-3C00-000018000000}">
      <text>
        <r>
          <rPr>
            <sz val="9"/>
            <color indexed="81"/>
            <rFont val="Arial"/>
            <family val="2"/>
          </rPr>
          <t xml:space="preserve">Мощность трансформатора
</t>
        </r>
      </text>
    </comment>
    <comment ref="AD77" authorId="0" shapeId="0" xr:uid="{00000000-0006-0000-3C00-000019000000}">
      <text>
        <r>
          <rPr>
            <sz val="9"/>
            <color indexed="81"/>
            <rFont val="Arial"/>
            <family val="2"/>
          </rPr>
          <t xml:space="preserve">Тип
</t>
        </r>
      </text>
    </comment>
    <comment ref="AD80" authorId="0" shapeId="0" xr:uid="{00000000-0006-0000-3C00-00001A000000}">
      <text>
        <r>
          <rPr>
            <sz val="9"/>
            <color indexed="81"/>
            <rFont val="Arial"/>
            <family val="2"/>
          </rPr>
          <t xml:space="preserve">Тип ПУ
</t>
        </r>
      </text>
    </comment>
    <comment ref="AD81" authorId="0" shapeId="0" xr:uid="{00000000-0006-0000-3C00-00001B000000}">
      <text>
        <r>
          <rPr>
            <sz val="9"/>
            <color indexed="81"/>
            <rFont val="Arial"/>
            <family val="2"/>
          </rPr>
          <t xml:space="preserve">Тип включения ПУ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39" authorId="0" shapeId="0" xr:uid="{00000000-0006-0000-3D00-000001000000}">
      <text>
        <r>
          <rPr>
            <sz val="9"/>
            <color indexed="81"/>
            <rFont val="Arial"/>
            <family val="2"/>
          </rPr>
          <t>Материал опоры</t>
        </r>
      </text>
    </comment>
    <comment ref="AD40" authorId="0" shapeId="0" xr:uid="{00000000-0006-0000-3D00-000002000000}">
      <text>
        <r>
          <rPr>
            <sz val="9"/>
            <color indexed="81"/>
            <rFont val="Arial"/>
            <family val="2"/>
          </rPr>
          <t>Тип провода</t>
        </r>
      </text>
    </comment>
    <comment ref="AD41" authorId="0" shapeId="0" xr:uid="{00000000-0006-0000-3D00-000003000000}">
      <text>
        <r>
          <rPr>
            <sz val="9"/>
            <color indexed="81"/>
            <rFont val="Arial"/>
            <family val="2"/>
          </rPr>
          <t xml:space="preserve">Материал провода </t>
        </r>
      </text>
    </comment>
    <comment ref="AD42" authorId="0" shapeId="0" xr:uid="{00000000-0006-0000-3D00-000004000000}">
      <text>
        <r>
          <rPr>
            <sz val="9"/>
            <color indexed="81"/>
            <rFont val="Arial"/>
            <family val="2"/>
          </rPr>
          <t xml:space="preserve">Сечение провода
</t>
        </r>
      </text>
    </comment>
    <comment ref="AD43" authorId="0" shapeId="0" xr:uid="{00000000-0006-0000-3D00-000005000000}">
      <text>
        <r>
          <rPr>
            <sz val="9"/>
            <color indexed="81"/>
            <rFont val="Arial"/>
            <family val="2"/>
          </rPr>
          <t xml:space="preserve">Количество цепей
</t>
        </r>
      </text>
    </comment>
    <comment ref="AD46" authorId="0" shapeId="0" xr:uid="{00000000-0006-0000-3D00-000006000000}">
      <text>
        <r>
          <rPr>
            <sz val="9"/>
            <color indexed="81"/>
            <rFont val="Arial"/>
            <family val="2"/>
          </rPr>
          <t xml:space="preserve">Способ прокладки кабельных линий 
</t>
        </r>
      </text>
    </comment>
    <comment ref="AD47" authorId="0" shapeId="0" xr:uid="{00000000-0006-0000-3D00-000007000000}">
      <text>
        <r>
          <rPr>
            <sz val="9"/>
            <color indexed="81"/>
            <rFont val="Arial"/>
            <family val="2"/>
          </rPr>
          <t xml:space="preserve">Тип провода
</t>
        </r>
      </text>
    </comment>
    <comment ref="AD48" authorId="0" shapeId="0" xr:uid="{00000000-0006-0000-3D00-000008000000}">
      <text>
        <r>
          <rPr>
            <sz val="9"/>
            <color indexed="81"/>
            <rFont val="Arial"/>
            <family val="2"/>
          </rPr>
          <t xml:space="preserve">Тип изоляции 
</t>
        </r>
      </text>
    </comment>
    <comment ref="AD49" authorId="0" shapeId="0" xr:uid="{00000000-0006-0000-3D00-000009000000}">
      <text>
        <r>
          <rPr>
            <sz val="9"/>
            <color indexed="81"/>
            <rFont val="Arial"/>
            <family val="2"/>
          </rPr>
          <t xml:space="preserve">Сечение провода
</t>
        </r>
      </text>
    </comment>
    <comment ref="AD50" authorId="0" shapeId="0" xr:uid="{00000000-0006-0000-3D00-00000A000000}">
      <text>
        <r>
          <rPr>
            <sz val="9"/>
            <color indexed="81"/>
            <rFont val="Arial"/>
            <family val="2"/>
          </rPr>
          <t xml:space="preserve">Количество кабелей
</t>
        </r>
      </text>
    </comment>
    <comment ref="AD53" authorId="0" shapeId="0" xr:uid="{00000000-0006-0000-3D00-00000B000000}">
      <text>
        <r>
          <rPr>
            <sz val="9"/>
            <color indexed="81"/>
            <rFont val="Arial"/>
            <family val="2"/>
          </rPr>
          <t xml:space="preserve">Тип оборудования
</t>
        </r>
      </text>
    </comment>
    <comment ref="AD54" authorId="0" shapeId="0" xr:uid="{00000000-0006-0000-3D00-00000C000000}">
      <text>
        <r>
          <rPr>
            <sz val="9"/>
            <color indexed="81"/>
            <rFont val="Arial"/>
            <family val="2"/>
          </rPr>
          <t xml:space="preserve">Номинальный ток
</t>
        </r>
      </text>
    </comment>
    <comment ref="AD55" authorId="0" shapeId="0" xr:uid="{00000000-0006-0000-3D00-00000D000000}">
      <text>
        <r>
          <rPr>
            <sz val="9"/>
            <color indexed="81"/>
            <rFont val="Arial"/>
            <family val="2"/>
          </rPr>
          <t xml:space="preserve">Количество ячеек в распределительном
</t>
        </r>
      </text>
    </comment>
    <comment ref="AD58" authorId="0" shapeId="0" xr:uid="{00000000-0006-0000-3D00-00000E000000}">
      <text>
        <r>
          <rPr>
            <sz val="9"/>
            <color indexed="81"/>
            <rFont val="Arial"/>
            <family val="2"/>
          </rPr>
          <t xml:space="preserve">Напряжение
</t>
        </r>
      </text>
    </comment>
    <comment ref="AD59" authorId="0" shapeId="0" xr:uid="{00000000-0006-0000-3D00-00000F000000}">
      <text>
        <r>
          <rPr>
            <sz val="9"/>
            <color indexed="81"/>
            <rFont val="Arial"/>
            <family val="2"/>
          </rPr>
          <t xml:space="preserve">Количество трансформаторов
</t>
        </r>
      </text>
    </comment>
    <comment ref="AD60" authorId="0" shapeId="0" xr:uid="{00000000-0006-0000-3D00-000010000000}">
      <text>
        <r>
          <rPr>
            <sz val="9"/>
            <color indexed="81"/>
            <rFont val="Arial"/>
            <family val="2"/>
          </rPr>
          <t xml:space="preserve">Мощность трансформатора
</t>
        </r>
      </text>
    </comment>
    <comment ref="AD61" authorId="0" shapeId="0" xr:uid="{00000000-0006-0000-3D00-000011000000}">
      <text>
        <r>
          <rPr>
            <sz val="9"/>
            <color indexed="81"/>
            <rFont val="Arial"/>
            <family val="2"/>
          </rPr>
          <t xml:space="preserve">Тип
</t>
        </r>
      </text>
    </comment>
    <comment ref="AD64" authorId="0" shapeId="0" xr:uid="{00000000-0006-0000-3D00-000012000000}">
      <text>
        <r>
          <rPr>
            <sz val="9"/>
            <color indexed="81"/>
            <rFont val="Arial"/>
            <family val="2"/>
          </rPr>
          <t xml:space="preserve">Напряжение
</t>
        </r>
      </text>
    </comment>
    <comment ref="AD65" authorId="0" shapeId="0" xr:uid="{00000000-0006-0000-3D00-000013000000}">
      <text>
        <r>
          <rPr>
            <sz val="9"/>
            <color indexed="81"/>
            <rFont val="Arial"/>
            <family val="2"/>
          </rPr>
          <t xml:space="preserve">Количество трансформаторов
</t>
        </r>
      </text>
    </comment>
    <comment ref="AD66" authorId="0" shapeId="0" xr:uid="{00000000-0006-0000-3D00-000014000000}">
      <text>
        <r>
          <rPr>
            <sz val="9"/>
            <color indexed="81"/>
            <rFont val="Arial"/>
            <family val="2"/>
          </rPr>
          <t xml:space="preserve">Мощность трансформатора
</t>
        </r>
      </text>
    </comment>
    <comment ref="AD67" authorId="0" shapeId="0" xr:uid="{00000000-0006-0000-3D00-000015000000}">
      <text>
        <r>
          <rPr>
            <sz val="9"/>
            <color indexed="81"/>
            <rFont val="Arial"/>
            <family val="2"/>
          </rPr>
          <t>Тип</t>
        </r>
      </text>
    </comment>
    <comment ref="AD70" authorId="0" shapeId="0" xr:uid="{00000000-0006-0000-3D00-000016000000}">
      <text>
        <r>
          <rPr>
            <sz val="9"/>
            <color indexed="81"/>
            <rFont val="Arial"/>
            <family val="2"/>
          </rPr>
          <t xml:space="preserve">Напряжение
</t>
        </r>
      </text>
    </comment>
    <comment ref="AD71" authorId="0" shapeId="0" xr:uid="{00000000-0006-0000-3D00-000017000000}">
      <text>
        <r>
          <rPr>
            <sz val="9"/>
            <color indexed="81"/>
            <rFont val="Arial"/>
            <family val="2"/>
          </rPr>
          <t>Количество трансформаторов</t>
        </r>
      </text>
    </comment>
    <comment ref="AD72" authorId="0" shapeId="0" xr:uid="{00000000-0006-0000-3D00-000018000000}">
      <text>
        <r>
          <rPr>
            <sz val="9"/>
            <color indexed="81"/>
            <rFont val="Arial"/>
            <family val="2"/>
          </rPr>
          <t xml:space="preserve">Мощность трансформатора
</t>
        </r>
      </text>
    </comment>
    <comment ref="AD73" authorId="0" shapeId="0" xr:uid="{00000000-0006-0000-3D00-000019000000}">
      <text>
        <r>
          <rPr>
            <sz val="9"/>
            <color indexed="81"/>
            <rFont val="Arial"/>
            <family val="2"/>
          </rPr>
          <t xml:space="preserve">Тип
</t>
        </r>
      </text>
    </comment>
  </commentList>
</comments>
</file>

<file path=xl/sharedStrings.xml><?xml version="1.0" encoding="utf-8"?>
<sst xmlns="http://schemas.openxmlformats.org/spreadsheetml/2006/main" count="8890" uniqueCount="3014">
  <si>
    <t>У Вас нет прав на заполнение данной формы. Обратитесь в службу поддержки https://tariff.expert/</t>
  </si>
  <si>
    <t xml:space="preserve">Метод расчета тарифа </t>
  </si>
  <si>
    <t>(доля в котле всегда = 1)</t>
  </si>
  <si>
    <t>Белгородская область</t>
  </si>
  <si>
    <t>Чувашская республика</t>
  </si>
  <si>
    <t>Пермский край</t>
  </si>
  <si>
    <t>Челябинская область</t>
  </si>
  <si>
    <t>Магаданская область</t>
  </si>
  <si>
    <t>Кемеровская область</t>
  </si>
  <si>
    <t>Ульяновская область, Крым</t>
  </si>
  <si>
    <t>Татарстан</t>
  </si>
  <si>
    <t>КЧР</t>
  </si>
  <si>
    <t>Новгородская область</t>
  </si>
  <si>
    <t>Полное НВВ/сальдо переток</t>
  </si>
  <si>
    <t>Монопотреб Белгород</t>
  </si>
  <si>
    <t>Котловое по ЭЭ/Поступление в сеть</t>
  </si>
  <si>
    <t>Котловое по ЭЭ/Полезный отпуск</t>
  </si>
  <si>
    <t>Котловое по М/Полезный отпуск</t>
  </si>
  <si>
    <t>Полное НВВ/Полезный отпуск</t>
  </si>
  <si>
    <t>Без баланса и расчета тарифа</t>
  </si>
  <si>
    <t>Тарифная выручка</t>
  </si>
  <si>
    <t>Алтайский край</t>
  </si>
  <si>
    <t>Архангельская область</t>
  </si>
  <si>
    <t>Волгоградская область</t>
  </si>
  <si>
    <t>Еврейская автономная область</t>
  </si>
  <si>
    <t>Костромская область</t>
  </si>
  <si>
    <t>Красноярский край</t>
  </si>
  <si>
    <t>Ленинградская область</t>
  </si>
  <si>
    <t>Новосибирская область</t>
  </si>
  <si>
    <t>Республика Алтай</t>
  </si>
  <si>
    <t>Республика Калмыкия</t>
  </si>
  <si>
    <t>Республика Карелия</t>
  </si>
  <si>
    <t>Республика Крым</t>
  </si>
  <si>
    <t>Республика Татарстан</t>
  </si>
  <si>
    <t>Республика Хакасия</t>
  </si>
  <si>
    <t>Самарская область</t>
  </si>
  <si>
    <t>Тверская область</t>
  </si>
  <si>
    <t>Томская область</t>
  </si>
  <si>
    <t>Ульяновская область</t>
  </si>
  <si>
    <t>Чувашская Республика</t>
  </si>
  <si>
    <t>Настройки</t>
  </si>
  <si>
    <t>Субъект Российской Федерации</t>
  </si>
  <si>
    <t>end</t>
  </si>
  <si>
    <t>Расчет плановой необходимой валовой выручки от оказания услуг по передаче электрической энергии для территориальных сетевых организаций</t>
  </si>
  <si>
    <t>REGIONS</t>
  </si>
  <si>
    <t>LINK_DOC_MASK</t>
  </si>
  <si>
    <t>TemplateState</t>
  </si>
  <si>
    <t>YES_NO</t>
  </si>
  <si>
    <t>POSSIBLE_PERIOD_FIX</t>
  </si>
  <si>
    <t>^https:\/\/data\-platform\.ru\/lk\/files\/Files\/EIApVA\/[0-9a-f]{8}-[0-9a-f]{4}-[0-9a-f]{4}-[0-9a-f]{4}-[0-9a-f]{12}</t>
  </si>
  <si>
    <t>FORMED</t>
  </si>
  <si>
    <t>да</t>
  </si>
  <si>
    <t>POSSIBLE_PERIOD_LENGTH</t>
  </si>
  <si>
    <t>YEAR</t>
  </si>
  <si>
    <t>TYPE_RENT</t>
  </si>
  <si>
    <t>TYPE_DOC_RENT</t>
  </si>
  <si>
    <t>STATUS_CONTRACT</t>
  </si>
  <si>
    <t>STATUS_CONTRACT_REESTR</t>
  </si>
  <si>
    <t>TYPE_RENT_DOG</t>
  </si>
  <si>
    <t>TYPE_KOTEL</t>
  </si>
  <si>
    <t>TYPE_OPOR</t>
  </si>
  <si>
    <t>TYPE_PROVODA</t>
  </si>
  <si>
    <t>PROVOD</t>
  </si>
  <si>
    <t>SECHENIE_PROVOD</t>
  </si>
  <si>
    <t>KOL_CEPEY</t>
  </si>
  <si>
    <t>Запорожская область</t>
  </si>
  <si>
    <t>^https:\/\/data\-platform\.ru\/lk\/ru\_6\_04\/extensions\/filestorage\/api\/Filestorage\/GetFile\?fileGuid=[0-9a-f]{8}-[0-9a-f]{4}-[0-9a-f]{4}-[0-9a-f]{4}-[0-9a-f]{12}$</t>
  </si>
  <si>
    <t>нет</t>
  </si>
  <si>
    <t>собственность</t>
  </si>
  <si>
    <t>Договор аренды</t>
  </si>
  <si>
    <t>новый</t>
  </si>
  <si>
    <t>аренда частной собственности</t>
  </si>
  <si>
    <t>«смешанного» котлообразования</t>
  </si>
  <si>
    <t>деревянные</t>
  </si>
  <si>
    <t>изолированный провод</t>
  </si>
  <si>
    <t>медный</t>
  </si>
  <si>
    <t>до 50 квадратных мм включительно</t>
  </si>
  <si>
    <t>одноцепная</t>
  </si>
  <si>
    <t>Калининградская область</t>
  </si>
  <si>
    <t>INSTRUCTION</t>
  </si>
  <si>
    <t>аренда</t>
  </si>
  <si>
    <t>Договор субаренды</t>
  </si>
  <si>
    <t>расторгнут</t>
  </si>
  <si>
    <t>аренда муниципальной собственности</t>
  </si>
  <si>
    <t>«котла сверху»</t>
  </si>
  <si>
    <t>металлические</t>
  </si>
  <si>
    <t>неизолированный провод</t>
  </si>
  <si>
    <t>стальной</t>
  </si>
  <si>
    <t>от 50 до 100 квадратных мм включительно</t>
  </si>
  <si>
    <t>двухцепная</t>
  </si>
  <si>
    <t>https://cloud.data-platform.ru/index.php/s/e6rjYBtcTpaAtE9</t>
  </si>
  <si>
    <t>MONTH_LIST</t>
  </si>
  <si>
    <t>лизинг</t>
  </si>
  <si>
    <t>Соглашение об установлении сервитута</t>
  </si>
  <si>
    <t>действующий</t>
  </si>
  <si>
    <t>получен отказ в регистрации</t>
  </si>
  <si>
    <t>«котла снизу»</t>
  </si>
  <si>
    <t>железобетонные</t>
  </si>
  <si>
    <t>сталеалюминиевый</t>
  </si>
  <si>
    <t>от 100 до 200 квадратных мм включительно</t>
  </si>
  <si>
    <t>Январь</t>
  </si>
  <si>
    <t>Решение о разрешении размещения объекта без предоставления земельного участка и установления сервитута</t>
  </si>
  <si>
    <t>алюминиевый</t>
  </si>
  <si>
    <t>от 200 до 500 квадратных мм включительно</t>
  </si>
  <si>
    <t>END_LICENSE</t>
  </si>
  <si>
    <t>Февраль</t>
  </si>
  <si>
    <t>Постановление о разрешении размещения объекта без предоставления земельного участка и установления сервитута</t>
  </si>
  <si>
    <t>от 500 до 800 квадратных мм включительно</t>
  </si>
  <si>
    <t>31.12.2050</t>
  </si>
  <si>
    <t>Март</t>
  </si>
  <si>
    <t>POSSIBLE_PERIODS_1</t>
  </si>
  <si>
    <t>Распоряжение о разрешении размещения объекта без предоставления земельного участка и установления сервитута</t>
  </si>
  <si>
    <t xml:space="preserve">свыше 800 квадратных мм </t>
  </si>
  <si>
    <t>Апрель</t>
  </si>
  <si>
    <t>OWNERSHIP_LIST</t>
  </si>
  <si>
    <t>logic</t>
  </si>
  <si>
    <t>TYPE_CUSTOMERS</t>
  </si>
  <si>
    <t>ChangeStore</t>
  </si>
  <si>
    <t>Май</t>
  </si>
  <si>
    <t>ИЖС/СНТ</t>
  </si>
  <si>
    <t>{"valids":[{"list":"SETTINGS_CALC_METHOD","adr":"REGULATION_METHODS"},{"list":"POSSIBLE_PERIOD_LENGTH","adr":"PERIOD_LENGTH"},{"list":"YES_NO","adr":"titleLock_1"},{"list":"VD_LIST","adr":"PRIMARY_ACTIVITY"}],"colors":{"#e3fafd":["OPF","REGULATION_METHODS","PERIOD_LENGTH","titleLock_1","PRIMARY_ACTIVITY"],"#b7e4ff":[]}}</t>
  </si>
  <si>
    <t>Июнь</t>
  </si>
  <si>
    <t>POSSIBLE_PERIODS_3</t>
  </si>
  <si>
    <t>Потребители с мощностью устройств &lt;670 кВт</t>
  </si>
  <si>
    <t>METOD_RASCHETA_TARIFA</t>
  </si>
  <si>
    <t>SPOSOB_PROKLADKI</t>
  </si>
  <si>
    <t>TYPE_PROVOD_KL</t>
  </si>
  <si>
    <t>TYPE_IZOL</t>
  </si>
  <si>
    <t>SECHENIE_PROVOD_KL</t>
  </si>
  <si>
    <t>KOL_KAB</t>
  </si>
  <si>
    <t>Ставропольский край</t>
  </si>
  <si>
    <t>Июль</t>
  </si>
  <si>
    <t>Потребители с мощностью устройств &gt;670 кВт</t>
  </si>
  <si>
    <t>в траншеях</t>
  </si>
  <si>
    <t>oдножильные</t>
  </si>
  <si>
    <t>с резиновой и пластмассовой изоляцией</t>
  </si>
  <si>
    <t>одна</t>
  </si>
  <si>
    <t>Август</t>
  </si>
  <si>
    <t>строительство</t>
  </si>
  <si>
    <t>ТСО</t>
  </si>
  <si>
    <t>в блоках</t>
  </si>
  <si>
    <t>многожильные</t>
  </si>
  <si>
    <t>бумажной изоляцией</t>
  </si>
  <si>
    <t xml:space="preserve">две </t>
  </si>
  <si>
    <t>Сентябрь</t>
  </si>
  <si>
    <t>Хоз. Ведение</t>
  </si>
  <si>
    <t>в каналах</t>
  </si>
  <si>
    <t>три</t>
  </si>
  <si>
    <t>Октябрь</t>
  </si>
  <si>
    <t>Оп. Управление</t>
  </si>
  <si>
    <t>в туннелях и коллекторах</t>
  </si>
  <si>
    <t>от 200 до 250 квадратных мм включительно</t>
  </si>
  <si>
    <t>четыре</t>
  </si>
  <si>
    <t>г.Севастополь</t>
  </si>
  <si>
    <t>Ноябрь</t>
  </si>
  <si>
    <t>POSSIBLE_PERIODS_4</t>
  </si>
  <si>
    <t>безвозмез. Пользование</t>
  </si>
  <si>
    <t>в галереях и эстакадах</t>
  </si>
  <si>
    <t>от 250 до 300 квадратных мм включительно</t>
  </si>
  <si>
    <t>более четырех</t>
  </si>
  <si>
    <t>Декабрь</t>
  </si>
  <si>
    <t>Концессионное соглашение</t>
  </si>
  <si>
    <t>горизонтальное наклонное бурение</t>
  </si>
  <si>
    <t>от 300 до 400 квадратных мм включительно</t>
  </si>
  <si>
    <t>подводная прокладка</t>
  </si>
  <si>
    <t>от 400 до 500 квадратных мм включительно</t>
  </si>
  <si>
    <t>GRID</t>
  </si>
  <si>
    <t>LEVEL_VOLTAGE</t>
  </si>
  <si>
    <t>BACE</t>
  </si>
  <si>
    <t>INSTALL_METHOD</t>
  </si>
  <si>
    <t>BASIS_INSTALL</t>
  </si>
  <si>
    <t>check</t>
  </si>
  <si>
    <t>signTS</t>
  </si>
  <si>
    <t>keyTS</t>
  </si>
  <si>
    <t>org</t>
  </si>
  <si>
    <t>ВН</t>
  </si>
  <si>
    <t xml:space="preserve">кадастровая стоимость </t>
  </si>
  <si>
    <t>на стене</t>
  </si>
  <si>
    <t>отсутствие прибора учета</t>
  </si>
  <si>
    <t>ВО</t>
  </si>
  <si>
    <t>2025-04-10T07:10:43.532801</t>
  </si>
  <si>
    <t>2025-04-10T10:13:02.0616639+03:00</t>
  </si>
  <si>
    <t>POSSIBLE_PERIODS_5</t>
  </si>
  <si>
    <t>СН1</t>
  </si>
  <si>
    <t>остаточная стоимость</t>
  </si>
  <si>
    <t>на столбе</t>
  </si>
  <si>
    <t>истечение срока межповерочного интервала</t>
  </si>
  <si>
    <t>ВР</t>
  </si>
  <si>
    <t>СН2</t>
  </si>
  <si>
    <t>прочее</t>
  </si>
  <si>
    <t>выход из строя</t>
  </si>
  <si>
    <t>TYPE_OBOR</t>
  </si>
  <si>
    <t>TOK</t>
  </si>
  <si>
    <t>KOL_YACHEEK</t>
  </si>
  <si>
    <t>НН</t>
  </si>
  <si>
    <t>реклоузеры</t>
  </si>
  <si>
    <t>до 100 А включительно</t>
  </si>
  <si>
    <t>до 5 ячеек включительно</t>
  </si>
  <si>
    <t>PRELOAD</t>
  </si>
  <si>
    <t>линейные разъединители</t>
  </si>
  <si>
    <t>от 100 до 250 А включительно</t>
  </si>
  <si>
    <t>от 5 до 10 ячеек включительно</t>
  </si>
  <si>
    <t>LGL_ID</t>
  </si>
  <si>
    <t>выключатели нагрузки</t>
  </si>
  <si>
    <t>от 250 до 500 А включительно</t>
  </si>
  <si>
    <t>от 10 до 15 ячеек включительно</t>
  </si>
  <si>
    <t>onlyOrg</t>
  </si>
  <si>
    <t>распределительные пункты (РП), за исключением (КРН,КРУН)</t>
  </si>
  <si>
    <t>от 500 А до 1 000 А включительно</t>
  </si>
  <si>
    <t>свыше 15 ячеек</t>
  </si>
  <si>
    <t>lastPrd</t>
  </si>
  <si>
    <t>26320092</t>
  </si>
  <si>
    <t>TYPE_OBJECT</t>
  </si>
  <si>
    <t>TYPE_DEVICE</t>
  </si>
  <si>
    <t>SOURCE_DEVICE</t>
  </si>
  <si>
    <t>doc_list</t>
  </si>
  <si>
    <t>КРН, КРУН</t>
  </si>
  <si>
    <t>свыше 1 000 А</t>
  </si>
  <si>
    <t>без ячеек</t>
  </si>
  <si>
    <t>POSSIBLE_PERIODS_6</t>
  </si>
  <si>
    <t>КЛЭП</t>
  </si>
  <si>
    <t>однофазный прямого включения</t>
  </si>
  <si>
    <t>Инвестпрограмма</t>
  </si>
  <si>
    <t>отсутствует</t>
  </si>
  <si>
    <t>переключательные пункты</t>
  </si>
  <si>
    <t>ВЛЭП</t>
  </si>
  <si>
    <t>трехфазный прямого включения</t>
  </si>
  <si>
    <t>Собственные средства</t>
  </si>
  <si>
    <t>ссылка на документ</t>
  </si>
  <si>
    <t>Подстанция</t>
  </si>
  <si>
    <t>трехфазный полукосвенного включения</t>
  </si>
  <si>
    <t>Кредит</t>
  </si>
  <si>
    <t>Прочее ЭСХ</t>
  </si>
  <si>
    <t>трехфазный косвенного включения</t>
  </si>
  <si>
    <t>napr_tr_C6</t>
  </si>
  <si>
    <t>KOL_TR</t>
  </si>
  <si>
    <t>tr_power_С6</t>
  </si>
  <si>
    <t>TYPE_С6</t>
  </si>
  <si>
    <t>GROUP_AMORT</t>
  </si>
  <si>
    <t>Прочее не ЭСХ</t>
  </si>
  <si>
    <t>6/0,4 кВ</t>
  </si>
  <si>
    <t>однотрансформаторные</t>
  </si>
  <si>
    <t>до 25 кВА вкл</t>
  </si>
  <si>
    <t>столбового/мачтового типа</t>
  </si>
  <si>
    <t>10/0,4 кВ</t>
  </si>
  <si>
    <t>двухтрансформаторные и более</t>
  </si>
  <si>
    <t>от 25 кВА до 100 кВА вкл</t>
  </si>
  <si>
    <t>шкафного или киоскового типа</t>
  </si>
  <si>
    <t>20/0,4 кВ</t>
  </si>
  <si>
    <t>от 100 кВА до 250 кВА вкл</t>
  </si>
  <si>
    <t>блочного типа</t>
  </si>
  <si>
    <t>INFORMATION_TO_LIST</t>
  </si>
  <si>
    <t>6/10/(10/6) кВ</t>
  </si>
  <si>
    <t>от 250 кВА до 400 кВА вкл</t>
  </si>
  <si>
    <t>встроенного типа</t>
  </si>
  <si>
    <t>SETTINGS_CALC_METHOD</t>
  </si>
  <si>
    <t>собственные силы</t>
  </si>
  <si>
    <t>10/20/(20/10) кВ</t>
  </si>
  <si>
    <t>от 400 кВА до 630 кВА вкл</t>
  </si>
  <si>
    <t>Метод долгосрочной индексации НВВ (1-ый год ДПР)</t>
  </si>
  <si>
    <t>договор подряда</t>
  </si>
  <si>
    <t>6/20/(20/6) кВ</t>
  </si>
  <si>
    <t>от 630 кВА до 1000 кВА вкл</t>
  </si>
  <si>
    <t>Метод экономически обоснованных расходов (затрат)</t>
  </si>
  <si>
    <t>от 1000 кВА до 1250 кВА вкл</t>
  </si>
  <si>
    <t>Метод долгосрочной индексации НВВ (корректировка)</t>
  </si>
  <si>
    <t>VD_LIST</t>
  </si>
  <si>
    <t>от 1250 кВА до 1600 кВА вкл</t>
  </si>
  <si>
    <t>Передача ЭЭ</t>
  </si>
  <si>
    <t>от 1600 кВА до 2000 кВА вкл</t>
  </si>
  <si>
    <t>Другое</t>
  </si>
  <si>
    <t>от 2000 кВА до 2500 кВА вкл</t>
  </si>
  <si>
    <t>от 2500 кВА до 3150 кВА вкл</t>
  </si>
  <si>
    <t>SETTINGS_CALC_METHOD_4_47</t>
  </si>
  <si>
    <t>от 3150 кВА до 4000 кВА вкл</t>
  </si>
  <si>
    <t>Затраты+</t>
  </si>
  <si>
    <t>свыше 4000 кВА</t>
  </si>
  <si>
    <t>Корректировка</t>
  </si>
  <si>
    <t>Сравнение аналогов</t>
  </si>
  <si>
    <t>napr_tr_C7</t>
  </si>
  <si>
    <t>tr_power_С7</t>
  </si>
  <si>
    <t>TYPE_С7</t>
  </si>
  <si>
    <t>6/10/0,4 кВ</t>
  </si>
  <si>
    <t>открытого типа</t>
  </si>
  <si>
    <t>EZ_DPR</t>
  </si>
  <si>
    <t>закрытого типа</t>
  </si>
  <si>
    <t>Первичная подача тарифного предложения к 1 мая</t>
  </si>
  <si>
    <t>Уточненное (скорректированное) предложение</t>
  </si>
  <si>
    <t>LIST_SOB</t>
  </si>
  <si>
    <t>Собственность</t>
  </si>
  <si>
    <t>Хозяйственное ведение</t>
  </si>
  <si>
    <t>Оперативное управление</t>
  </si>
  <si>
    <t>Доверительное управление имуществом</t>
  </si>
  <si>
    <t>свыше 3150 кВА</t>
  </si>
  <si>
    <t>Возмездное оказание услуг</t>
  </si>
  <si>
    <t>napr_tr_C8</t>
  </si>
  <si>
    <t>tr_power_С8</t>
  </si>
  <si>
    <t>35/6(10) кВ</t>
  </si>
  <si>
    <t>до 6,3 МВА</t>
  </si>
  <si>
    <t>35/0,4 кВ</t>
  </si>
  <si>
    <t>от 6,3 МВА до 10 МВА вкл</t>
  </si>
  <si>
    <t>110/35 кВ</t>
  </si>
  <si>
    <t>от 10 МВА до 16 МВА вкл</t>
  </si>
  <si>
    <t>110/6(10) кВ</t>
  </si>
  <si>
    <t>от 16 МВА до 25 МВА вкл</t>
  </si>
  <si>
    <t>110/35/6(10) кВ</t>
  </si>
  <si>
    <t>от 25 МВА до 32 МВА вкл</t>
  </si>
  <si>
    <t>от 32 МВА до 40 МВА вкл</t>
  </si>
  <si>
    <t>от 40 МВА до 63 МВА вкл</t>
  </si>
  <si>
    <t>от 63 МВА до 80 МВА вкл</t>
  </si>
  <si>
    <t>от 80 МВА до 100 МВА вкл</t>
  </si>
  <si>
    <t>свыше 100 МВА</t>
  </si>
  <si>
    <t>TYPE_С8.1</t>
  </si>
  <si>
    <t>TYPE2_С8.1</t>
  </si>
  <si>
    <t>однофазный</t>
  </si>
  <si>
    <t>прямого включения</t>
  </si>
  <si>
    <t>трехфазный</t>
  </si>
  <si>
    <t>лукосвенного включения</t>
  </si>
  <si>
    <t>косвенного включения</t>
  </si>
  <si>
    <t>markAxe_1</t>
  </si>
  <si>
    <t>ITEM</t>
  </si>
  <si>
    <t>COMMENT</t>
  </si>
  <si>
    <t>UNIT</t>
  </si>
  <si>
    <t>L.NSRF</t>
  </si>
  <si>
    <t>СТР</t>
  </si>
  <si>
    <t>L.VERSION</t>
  </si>
  <si>
    <t>Версия</t>
  </si>
  <si>
    <t>Версия организации</t>
  </si>
  <si>
    <t>L.NORG</t>
  </si>
  <si>
    <t>Наименование организации</t>
  </si>
  <si>
    <t>МУП "Горэлектросети"</t>
  </si>
  <si>
    <t>L.OPF</t>
  </si>
  <si>
    <t>Организационно правовая форма</t>
  </si>
  <si>
    <t>Муниципальное Унитарное Предприятие</t>
  </si>
  <si>
    <t>L.ORG.ID</t>
  </si>
  <si>
    <t>ID организации</t>
  </si>
  <si>
    <t>L.INN</t>
  </si>
  <si>
    <t>ИНН</t>
  </si>
  <si>
    <t>0400000157</t>
  </si>
  <si>
    <t>L.KPP</t>
  </si>
  <si>
    <t>КПП</t>
  </si>
  <si>
    <t>041101001</t>
  </si>
  <si>
    <t>L.PEROID</t>
  </si>
  <si>
    <t>Период регулирования</t>
  </si>
  <si>
    <t>Метод</t>
  </si>
  <si>
    <t>L.TYPEFILL</t>
  </si>
  <si>
    <t>Подача тарифного предложения</t>
  </si>
  <si>
    <t>L.PERVGOD</t>
  </si>
  <si>
    <t>Первый год периода регулирования</t>
  </si>
  <si>
    <t>Первый год текущего долгосрочного периода</t>
  </si>
  <si>
    <t>L.GOD.BAZUR</t>
  </si>
  <si>
    <t>Год пересмотра базового уровня подконтрольных расходов</t>
  </si>
  <si>
    <t>L.Y.PEROID</t>
  </si>
  <si>
    <t>Количество лет регулирования</t>
  </si>
  <si>
    <t>L.CHANGE.LOSSES</t>
  </si>
  <si>
    <t>Пересмотр уровня потерь</t>
  </si>
  <si>
    <t>L.DLPEROID</t>
  </si>
  <si>
    <t>Долгосрочный период регулирования</t>
  </si>
  <si>
    <t>L.ACTIVITY</t>
  </si>
  <si>
    <t>Вид деятельности</t>
  </si>
  <si>
    <t>Укажите основной вид деятельности</t>
  </si>
  <si>
    <t>L.KOTL.NORG</t>
  </si>
  <si>
    <t>Наименование смежной сетевой организации (котлодержатель)</t>
  </si>
  <si>
    <t>Филиал ПАО "Россети Сибирь"</t>
  </si>
  <si>
    <t>L.ORG.ID.DOP</t>
  </si>
  <si>
    <t>ID смежной сетевой организации (котлодержатель)</t>
  </si>
  <si>
    <t>26320094</t>
  </si>
  <si>
    <t>L.KOTL.INN</t>
  </si>
  <si>
    <t>ИНН смежной сетевой организации (котлодержатель)</t>
  </si>
  <si>
    <t>2460069527</t>
  </si>
  <si>
    <t>L.KOTL.KPP</t>
  </si>
  <si>
    <t>КПП смежной сетевой организации (котлодержатель)</t>
  </si>
  <si>
    <t>041143001</t>
  </si>
  <si>
    <t>L.CONNECT</t>
  </si>
  <si>
    <t>Количество точек поставки</t>
  </si>
  <si>
    <t>L.AB.N</t>
  </si>
  <si>
    <t>Выделенный абонентский номер для обращений потребителей</t>
  </si>
  <si>
    <t xml:space="preserve">Выделенный абонентский номер для обращений потребителей услуг по передаче электрической энергии (номер) </t>
  </si>
  <si>
    <t>8-(388-22)-6-22-93</t>
  </si>
  <si>
    <t>L.SITE</t>
  </si>
  <si>
    <t>Официальный сайт в информационно-телекоммуникационной сети "Интернет"</t>
  </si>
  <si>
    <t>Официальный сайт в информационно-телекоммуникационной сети "Интернет" (ссылка)</t>
  </si>
  <si>
    <t>http://www.g-ages.ru</t>
  </si>
  <si>
    <t>Адрес организации</t>
  </si>
  <si>
    <t>L.UR.ADDRESS</t>
  </si>
  <si>
    <t>Юридический адрес</t>
  </si>
  <si>
    <t>649002, г. Горно-Алтайск ул. Связистов 1</t>
  </si>
  <si>
    <t>L.P.ADDRESS</t>
  </si>
  <si>
    <t>Почтовый адрес</t>
  </si>
  <si>
    <t>Руководитель</t>
  </si>
  <si>
    <t>L.FIO.RUK</t>
  </si>
  <si>
    <t>Руководитель, ФИО</t>
  </si>
  <si>
    <t>Фамилия, имя, отчество</t>
  </si>
  <si>
    <t>Коренов Анатолий Аркадьевич</t>
  </si>
  <si>
    <t>L.TEL.RUK</t>
  </si>
  <si>
    <t>Руководитель, контактный телефон</t>
  </si>
  <si>
    <t>(код) номер телефона</t>
  </si>
  <si>
    <t>8(388-22)-6-22-93</t>
  </si>
  <si>
    <t>Главный бухгалтер</t>
  </si>
  <si>
    <t>L.FIO.BUH</t>
  </si>
  <si>
    <t>Главный бухгалтер, ФИО</t>
  </si>
  <si>
    <t>Долгова Светлана Александровна</t>
  </si>
  <si>
    <t>L.TEL.BUH</t>
  </si>
  <si>
    <t>Главный бухгалтер, контактный телефон</t>
  </si>
  <si>
    <t>8(388-22)-6-12-08</t>
  </si>
  <si>
    <t>Ответственный за предоставление информации</t>
  </si>
  <si>
    <t>L.FIO.OTV</t>
  </si>
  <si>
    <t>Ответственный за представление, ФИО</t>
  </si>
  <si>
    <t>Кукин Сергей Анатольевич</t>
  </si>
  <si>
    <t>L.POS.OTV</t>
  </si>
  <si>
    <t>Ответственный за представление, должность</t>
  </si>
  <si>
    <t>Должность</t>
  </si>
  <si>
    <t>Заместитель директора</t>
  </si>
  <si>
    <t>L.TEL.OTV</t>
  </si>
  <si>
    <t>Ответственный за представление, контактный телефон</t>
  </si>
  <si>
    <t>Контактный телефон</t>
  </si>
  <si>
    <t>L.EP.OTV</t>
  </si>
  <si>
    <t>Ответственный за представление, эл.почта</t>
  </si>
  <si>
    <t>e-mail</t>
  </si>
  <si>
    <t>ksa2662@mail.ru</t>
  </si>
  <si>
    <t>L.0</t>
  </si>
  <si>
    <t>Версия шаблона</t>
  </si>
  <si>
    <t>L.SIGNAMORTTS</t>
  </si>
  <si>
    <t>Дата подписания загруженного слепка амортизации</t>
  </si>
  <si>
    <t>L.AMORTKEYTS</t>
  </si>
  <si>
    <t>Дата загрузки слепка амортизации</t>
  </si>
  <si>
    <t>btnVis</t>
  </si>
  <si>
    <t>wsNames</t>
  </si>
  <si>
    <t>wsCheck</t>
  </si>
  <si>
    <t>wsLinks</t>
  </si>
  <si>
    <t>preload</t>
  </si>
  <si>
    <t xml:space="preserve">Оглавление шаблона (список листов) </t>
  </si>
  <si>
    <t>Инструкция</t>
  </si>
  <si>
    <t>Титульный</t>
  </si>
  <si>
    <t>checkTitle</t>
  </si>
  <si>
    <t>Список листов</t>
  </si>
  <si>
    <t>История изменений ВО</t>
  </si>
  <si>
    <t>Данные регулятора</t>
  </si>
  <si>
    <t>Сопроводительные материалы</t>
  </si>
  <si>
    <t>Форма раскрытия информации</t>
  </si>
  <si>
    <t>Прил. 1</t>
  </si>
  <si>
    <t>Прил. 2,3,8</t>
  </si>
  <si>
    <t>Прил. 5-6</t>
  </si>
  <si>
    <t>индекс эффективности ОПР</t>
  </si>
  <si>
    <t xml:space="preserve">баз. ур. подк. расх. </t>
  </si>
  <si>
    <t>ЛЭП у.е</t>
  </si>
  <si>
    <t>ПС у.е</t>
  </si>
  <si>
    <t xml:space="preserve">Свод УЕ </t>
  </si>
  <si>
    <t>Расчет потерь</t>
  </si>
  <si>
    <t>приказ минэнерго</t>
  </si>
  <si>
    <t>Форма 3.1</t>
  </si>
  <si>
    <t>П1.4</t>
  </si>
  <si>
    <t>П1.5</t>
  </si>
  <si>
    <t>П1.30</t>
  </si>
  <si>
    <t>Расчет НВВ</t>
  </si>
  <si>
    <t>Тариф</t>
  </si>
  <si>
    <t>Расчет НВВ_6.42</t>
  </si>
  <si>
    <t>Расчет НВВ_74</t>
  </si>
  <si>
    <t>ЭЗ ДПР c уч.421</t>
  </si>
  <si>
    <t>ЭЗ ДПР c уч.421 ДЕМО</t>
  </si>
  <si>
    <t>ЭЗ ДПР кор</t>
  </si>
  <si>
    <t>ЭЗ ДПР кор ДЕМО</t>
  </si>
  <si>
    <t>Корректировка НВВ</t>
  </si>
  <si>
    <t>Сырье и материалы</t>
  </si>
  <si>
    <t>РПР Ремонт</t>
  </si>
  <si>
    <t>Замена ИСУ факт</t>
  </si>
  <si>
    <t>Замена ИСУ план</t>
  </si>
  <si>
    <t>ППР</t>
  </si>
  <si>
    <t>ЭЭ</t>
  </si>
  <si>
    <t>ТЭ</t>
  </si>
  <si>
    <t>Персонал</t>
  </si>
  <si>
    <t>ФОТ норматив</t>
  </si>
  <si>
    <t xml:space="preserve">ФОТ норматив скрыть </t>
  </si>
  <si>
    <t>ФСК</t>
  </si>
  <si>
    <t>ФСК факт</t>
  </si>
  <si>
    <t>Аренда ЭСХ</t>
  </si>
  <si>
    <t>Аренда прочее им.</t>
  </si>
  <si>
    <t>Лизинг ЭСХ</t>
  </si>
  <si>
    <t>Расчет амортизации</t>
  </si>
  <si>
    <t>checkCalcAmort</t>
  </si>
  <si>
    <t>Налог на имущество</t>
  </si>
  <si>
    <t>Трансп.налог</t>
  </si>
  <si>
    <t>Налог на прибыль</t>
  </si>
  <si>
    <t>Прибыль</t>
  </si>
  <si>
    <t>Прочие НПР</t>
  </si>
  <si>
    <t>Факт потери</t>
  </si>
  <si>
    <t>Структура ПО_факт</t>
  </si>
  <si>
    <t>Структура ПО_план</t>
  </si>
  <si>
    <t>товарная выручка факт</t>
  </si>
  <si>
    <t>прил 1_215-Э</t>
  </si>
  <si>
    <t>прил 3_215-Э</t>
  </si>
  <si>
    <t>Т 1.3 Приказа 585</t>
  </si>
  <si>
    <t>Т 1.6 Приказа 585</t>
  </si>
  <si>
    <t>финансовые показатели</t>
  </si>
  <si>
    <t>НВВ РСК</t>
  </si>
  <si>
    <t>PEREDACHA.XX.FACT.EXPENSES</t>
  </si>
  <si>
    <t>PEREDACHA.M.ХХ Индекс</t>
  </si>
  <si>
    <t>Бухгалтерский баланс. Раздел А</t>
  </si>
  <si>
    <t>Бухгалтерский баланс. Раздел П</t>
  </si>
  <si>
    <t>Отчет о финансовых результатах</t>
  </si>
  <si>
    <t>Стоимость активов</t>
  </si>
  <si>
    <t>Оценка ликвидности</t>
  </si>
  <si>
    <t>Оценка фин. уст</t>
  </si>
  <si>
    <t>Оценка дел. активность</t>
  </si>
  <si>
    <t>Обоб. анализ</t>
  </si>
  <si>
    <t>Комментарии</t>
  </si>
  <si>
    <r>
      <t>rng</t>
    </r>
    <r>
      <rPr>
        <sz val="11"/>
        <color rgb="FFCCCCCC"/>
        <rFont val="Consolas"/>
        <family val="3"/>
        <charset val="204"/>
      </rPr>
      <t>.</t>
    </r>
    <r>
      <rPr>
        <sz val="11"/>
        <color rgb="FF9CDCFE"/>
        <rFont val="Consolas"/>
        <family val="3"/>
        <charset val="204"/>
      </rPr>
      <t>entireRow</t>
    </r>
    <r>
      <rPr>
        <sz val="11"/>
        <color rgb="FFCCCCCC"/>
        <rFont val="Consolas"/>
        <family val="3"/>
        <charset val="204"/>
      </rPr>
      <t>.</t>
    </r>
    <r>
      <rPr>
        <sz val="11"/>
        <color rgb="FF9CDCFE"/>
        <rFont val="Consolas"/>
        <family val="3"/>
        <charset val="204"/>
      </rPr>
      <t>visible</t>
    </r>
  </si>
  <si>
    <t/>
  </si>
  <si>
    <t>История изменений значений ячеек при обновлении данных столбцов версии организации</t>
  </si>
  <si>
    <t>№ п/п</t>
  </si>
  <si>
    <t>Время запроса данных</t>
  </si>
  <si>
    <t>Наименование листа</t>
  </si>
  <si>
    <t>Ячейка</t>
  </si>
  <si>
    <t>Старое значение</t>
  </si>
  <si>
    <t>Новое значение</t>
  </si>
  <si>
    <t>Разница (при наличии)</t>
  </si>
  <si>
    <t>wsHistoryChanges_add_Block_1</t>
  </si>
  <si>
    <t>×</t>
  </si>
  <si>
    <t>wsHistoryChanges_add_Sheet_1</t>
  </si>
  <si>
    <t>wsHistoryChanges_add_row_1</t>
  </si>
  <si>
    <t>dels_1</t>
  </si>
  <si>
    <t>nums_1</t>
  </si>
  <si>
    <t>adds_1</t>
  </si>
  <si>
    <t>block_1</t>
  </si>
  <si>
    <t>DynParams</t>
  </si>
  <si>
    <t>Карточка регулятора</t>
  </si>
  <si>
    <t>Показатели</t>
  </si>
  <si>
    <t>Информация регулятора</t>
  </si>
  <si>
    <t>1</t>
  </si>
  <si>
    <t xml:space="preserve">Номер дела </t>
  </si>
  <si>
    <t>2</t>
  </si>
  <si>
    <t>Дата, номер приказа о проведении экспертизы</t>
  </si>
  <si>
    <t>3</t>
  </si>
  <si>
    <t>Сроки проведения экспертизы</t>
  </si>
  <si>
    <t>4</t>
  </si>
  <si>
    <t>Должность, ФИО уполномоченного</t>
  </si>
  <si>
    <t>5</t>
  </si>
  <si>
    <t>Члены экспертной группы</t>
  </si>
  <si>
    <t>5.0</t>
  </si>
  <si>
    <t>et</t>
  </si>
  <si>
    <t>Добавить</t>
  </si>
  <si>
    <t>6</t>
  </si>
  <si>
    <t>Номер, дата заявления об установлении тарифов</t>
  </si>
  <si>
    <t>7</t>
  </si>
  <si>
    <t>ДЕТ</t>
  </si>
  <si>
    <t>НОМЕР</t>
  </si>
  <si>
    <t>ТИП.ПОК</t>
  </si>
  <si>
    <t>Не определено</t>
  </si>
  <si>
    <t>8</t>
  </si>
  <si>
    <t>-</t>
  </si>
  <si>
    <t>9</t>
  </si>
  <si>
    <t>10</t>
  </si>
  <si>
    <t>11</t>
  </si>
  <si>
    <t>12</t>
  </si>
  <si>
    <t>13</t>
  </si>
  <si>
    <t>14</t>
  </si>
  <si>
    <t>15</t>
  </si>
  <si>
    <t>16</t>
  </si>
  <si>
    <t>17</t>
  </si>
  <si>
    <t>18</t>
  </si>
  <si>
    <t>Расходы на оплату труда</t>
  </si>
  <si>
    <t>19</t>
  </si>
  <si>
    <t>20</t>
  </si>
  <si>
    <t>23</t>
  </si>
  <si>
    <t>24</t>
  </si>
  <si>
    <t>25</t>
  </si>
  <si>
    <t>26</t>
  </si>
  <si>
    <t>27</t>
  </si>
  <si>
    <t>28</t>
  </si>
  <si>
    <t>29</t>
  </si>
  <si>
    <t>30</t>
  </si>
  <si>
    <t>31</t>
  </si>
  <si>
    <t>32</t>
  </si>
  <si>
    <t>Оплата услуг ПАО "ФСК ЕЭС"</t>
  </si>
  <si>
    <t>33</t>
  </si>
  <si>
    <t>Теплоэнергия</t>
  </si>
  <si>
    <t>Отчисления на социальные нужды</t>
  </si>
  <si>
    <t>Прочие неподконтрольные расходы</t>
  </si>
  <si>
    <t>0</t>
  </si>
  <si>
    <t>ПФ</t>
  </si>
  <si>
    <t>markAxe_2</t>
  </si>
  <si>
    <t>ПРД</t>
  </si>
  <si>
    <t>markAxe_3</t>
  </si>
  <si>
    <t>ф</t>
  </si>
  <si>
    <t>у</t>
  </si>
  <si>
    <t>п</t>
  </si>
  <si>
    <t>1 пг</t>
  </si>
  <si>
    <t>2 пг</t>
  </si>
  <si>
    <t>ПРЕДЛОЖЕНИЕ</t>
  </si>
  <si>
    <t>о размере цен (тарифов), долгосрочных параметров регулирования</t>
  </si>
  <si>
    <t xml:space="preserve"> (расчетный период регулирования)</t>
  </si>
  <si>
    <t>(полное и сокращенное наименование юридического лица)</t>
  </si>
  <si>
    <t>I. Информация об организации</t>
  </si>
  <si>
    <t>L.FULLNAME</t>
  </si>
  <si>
    <t>Полное наименование</t>
  </si>
  <si>
    <t>L.NAME</t>
  </si>
  <si>
    <t>Сокращенное наименование</t>
  </si>
  <si>
    <t>L.LOCATION</t>
  </si>
  <si>
    <t>Место нахождения</t>
  </si>
  <si>
    <t>L.ADDRESS</t>
  </si>
  <si>
    <t>Фактический адрес</t>
  </si>
  <si>
    <t>L.FIO</t>
  </si>
  <si>
    <t>Ф.И.О. руководителя</t>
  </si>
  <si>
    <t>L.EMAIL</t>
  </si>
  <si>
    <t>Адрес электронной почты</t>
  </si>
  <si>
    <t>L.PHONE</t>
  </si>
  <si>
    <t>Факс</t>
  </si>
  <si>
    <t>II. Основные показатели деятельности организации</t>
  </si>
  <si>
    <t>Наименование показателей</t>
  </si>
  <si>
    <t>Единица измерения</t>
  </si>
  <si>
    <t>Фактические показатели за год, предшествующий базовому периоду</t>
  </si>
  <si>
    <t>Показатели, утвержденные_x000D_
на базовый_x000D_
период *</t>
  </si>
  <si>
    <t>Предложения_x000D_
на расчетный период регулирования</t>
  </si>
  <si>
    <t>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</si>
  <si>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</si>
  <si>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L.REVENUE</t>
  </si>
  <si>
    <t>Выручка</t>
  </si>
  <si>
    <t>ЧСЛ</t>
  </si>
  <si>
    <t>1.1</t>
  </si>
  <si>
    <t>тыс.руб.</t>
  </si>
  <si>
    <t>L.PROFIT</t>
  </si>
  <si>
    <t>Прибыль (убыток) от продаж</t>
  </si>
  <si>
    <t>1.2</t>
  </si>
  <si>
    <t>L.EBITDA</t>
  </si>
  <si>
    <t>EBITDA (прибыль до процентов, налогов и амортизации)</t>
  </si>
  <si>
    <t>1.3</t>
  </si>
  <si>
    <t>L.NETPROFIT</t>
  </si>
  <si>
    <t>Чистая прибыль (убыток)</t>
  </si>
  <si>
    <t>1.4</t>
  </si>
  <si>
    <t>Показатели рентабельности организации</t>
  </si>
  <si>
    <t>L.PROFITABILITY</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</si>
  <si>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</si>
  <si>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2.1</t>
  </si>
  <si>
    <t>%</t>
  </si>
  <si>
    <t>Показатели регулируемых видов деятельности организации</t>
  </si>
  <si>
    <t>L.POWER</t>
  </si>
  <si>
    <t>Заявленная мощность</t>
  </si>
  <si>
    <t>3.1</t>
  </si>
  <si>
    <t>Заявленная мощность &lt;***&gt;</t>
  </si>
  <si>
    <t>МВт</t>
  </si>
  <si>
    <t>L.EESUPLY</t>
  </si>
  <si>
    <t>Объем полезного отпуска электроэнергии</t>
  </si>
  <si>
    <t>3.2</t>
  </si>
  <si>
    <t>Объем полезного отпуска электроэнергии - Всего &lt;***&gt;</t>
  </si>
  <si>
    <t>тыс.кВт*ч</t>
  </si>
  <si>
    <t>L.EESUPLY.PEOPLE</t>
  </si>
  <si>
    <t>Объем полезного отпуска электроэнергии населению и приравненным к нему категориям потребителей</t>
  </si>
  <si>
    <t>3.3</t>
  </si>
  <si>
    <t>Объем полезного отпуска электроэнергии населению и приравненным к нему категориям потребителей &lt;***&gt;</t>
  </si>
  <si>
    <t>тыс. кВт·ч</t>
  </si>
  <si>
    <t>L.LOSS</t>
  </si>
  <si>
    <t>Уровень потерь электрической энергии</t>
  </si>
  <si>
    <t>3.4</t>
  </si>
  <si>
    <t>Уровень потерь электрической энергии &lt;***&gt;</t>
  </si>
  <si>
    <t>L.PROGRAM.EFFICIENCY</t>
  </si>
  <si>
    <t>Реквизиты программы энергоэффективности (кем утверждена, дата утверждения, номер приказа)</t>
  </si>
  <si>
    <t>3.5</t>
  </si>
  <si>
    <t>Реквизиты программы энергоэффективности (кем утверждена, дата утверждения, номер приказа) &lt;***&gt;</t>
  </si>
  <si>
    <t>"Программа в области энергосбережения и повышения
энергетической эффективности на 2021-2025 годы,
Муниципального унитарного предприятия «ГорноАлтайское городское предприятие электрических сетей» утверждена 25.12.2019 года "</t>
  </si>
  <si>
    <t>Программа энергосбережения и повышения энергетической эффективности МУП "Горэлектросети" 2026-2030 г.г. Утверждена приказом  № 71 от 18.04.2025 г.</t>
  </si>
  <si>
    <t>L.NVV</t>
  </si>
  <si>
    <t>Необходимая валовая выручка по регулируемым видам деятельности организации</t>
  </si>
  <si>
    <t>Необходимая валовая выручка по регулируемым видам деятельности организации - Всего</t>
  </si>
  <si>
    <t>L.CONTROLEXPENSES</t>
  </si>
  <si>
    <t>Расходы, связанные с производством и реализацией товаров, работ и услуг;операционные (подконтрольные) расходы</t>
  </si>
  <si>
    <t>4.1</t>
  </si>
  <si>
    <t>Расходы, связанные с производством и реализацией товаров, работ и услуг &lt;**&gt;, &lt;****&gt;;_x000D_
операционные (подконтрольные) расходы &lt;***&gt; - Всего</t>
  </si>
  <si>
    <t>в том числе:</t>
  </si>
  <si>
    <t>L.FOT</t>
  </si>
  <si>
    <t>оплата труда</t>
  </si>
  <si>
    <t>4.1.1</t>
  </si>
  <si>
    <t>L.REPAIR</t>
  </si>
  <si>
    <t>ремонт основных фондов</t>
  </si>
  <si>
    <t>4.1.2</t>
  </si>
  <si>
    <t>L.MATERIALS</t>
  </si>
  <si>
    <t>материальные затраты</t>
  </si>
  <si>
    <t>4.1.3</t>
  </si>
  <si>
    <t>L.UNCONTROLEXPENSES</t>
  </si>
  <si>
    <t>неподконтрольные расходы</t>
  </si>
  <si>
    <t>4.2</t>
  </si>
  <si>
    <t>Расходы, за исключением указанных в позиции 4.1 &lt;**&gt;, &lt;****&gt;;неподконтрольные расходы &lt;***&gt; - Всего &lt;***&gt;</t>
  </si>
  <si>
    <t>L.RECENTEXCESS</t>
  </si>
  <si>
    <t>Выпадающие, излишние доходы (расходы) прошлых лет</t>
  </si>
  <si>
    <t>4.3</t>
  </si>
  <si>
    <t>L.TARIFINVEST</t>
  </si>
  <si>
    <t>Инвестиции, осуществляемые за счет тарифных источников</t>
  </si>
  <si>
    <t>4.4</t>
  </si>
  <si>
    <t>L.PROGRAM.INVEST</t>
  </si>
  <si>
    <t>Реквизиты инвестиционной программы (кем утверждена, дата утверждения, номер приказа)</t>
  </si>
  <si>
    <t>4.4.1</t>
  </si>
  <si>
    <t>Приказ Комитета по тарифам РА №56-ВД от 25.12.2023г. "Об утверждении изменений, вносимых в инвестиционную программу МУП "Горэлектросети", утвержденную приказом Комитета по тарифам РА от 25.12.2020г. №45-ВД" на 2021-2025 годы"</t>
  </si>
  <si>
    <t>Подача заявки от 29.04.2025 г. для утверждении ИПР на следующий ДПР  2026-2030 г.г.</t>
  </si>
  <si>
    <t>L.UE</t>
  </si>
  <si>
    <t>Объем условных единиц</t>
  </si>
  <si>
    <t>4.5</t>
  </si>
  <si>
    <t>Объем условных единиц &lt;***&gt;</t>
  </si>
  <si>
    <t>у.е.</t>
  </si>
  <si>
    <t>L.CONTROLEXPENSES.UEUNIT</t>
  </si>
  <si>
    <t>Операционные (подконтрольные) расходы на условную единицу</t>
  </si>
  <si>
    <t>4.6</t>
  </si>
  <si>
    <t>Операционные (подконтрольные) расходы на условную единицу &lt;***&gt;</t>
  </si>
  <si>
    <t>тыс.руб./у.е.</t>
  </si>
  <si>
    <t>Показатели численности персонала и фонда оплаты труда по регулируемым видам деятельности</t>
  </si>
  <si>
    <t>L.EMPLOYEE.AVERAGE</t>
  </si>
  <si>
    <t>Среднесписочная численность персонала</t>
  </si>
  <si>
    <t>5.1</t>
  </si>
  <si>
    <t>человек</t>
  </si>
  <si>
    <t>L.AVERAGESALARY</t>
  </si>
  <si>
    <t>Среднемесячная заработная плата на одного работника</t>
  </si>
  <si>
    <t>5.2</t>
  </si>
  <si>
    <t>тыс.руб. на человека</t>
  </si>
  <si>
    <t>L.TARIFFAGREEMENT</t>
  </si>
  <si>
    <t>Реквизиты отраслевого тарифного соглашения (дата утверждения, срок действия)</t>
  </si>
  <si>
    <t>5.3</t>
  </si>
  <si>
    <t>ОТС в ЖКХ РА на 2024-2026 год.  Регистрационный № 2 от 7 декабря 2023 года</t>
  </si>
  <si>
    <t>L.CAPITAL</t>
  </si>
  <si>
    <t>Уставный капитал (складочный капитал, уставный фонд, вклады товарищей)</t>
  </si>
  <si>
    <t>L.FINSTAB</t>
  </si>
  <si>
    <t>Анализ финансовой устойчивости по величине излишка (недостатка) собственных оборотных средств</t>
  </si>
  <si>
    <t>III. Цены (тарифы) по регулируемым видам деятельности организации</t>
  </si>
  <si>
    <t>Единица изменения</t>
  </si>
  <si>
    <t>Показатели, утвержденные на базовый период *</t>
  </si>
  <si>
    <t>Предложения на расчетный период регулирования</t>
  </si>
  <si>
    <t>первое полугодие</t>
  </si>
  <si>
    <t>второе полугодие</t>
  </si>
  <si>
    <t>услуги по передаче электрической энергии</t>
  </si>
  <si>
    <t>двухставочный тариф</t>
  </si>
  <si>
    <t>L.TARIF.SERVICE</t>
  </si>
  <si>
    <t>ставка на содержание сетей</t>
  </si>
  <si>
    <t>руб./МВт в месяц</t>
  </si>
  <si>
    <t>L.TARIF.LOSS</t>
  </si>
  <si>
    <t>ставка на оплату технологического расхода (потерь)</t>
  </si>
  <si>
    <t>руб./МВт·ч</t>
  </si>
  <si>
    <t>L.TARIF.SINGLERATE</t>
  </si>
  <si>
    <t>одноставочный тариф</t>
  </si>
  <si>
    <t>Новгородский филиал ПАО "Россети Северо-Запад"</t>
  </si>
  <si>
    <t>ставка на содержание сетей Новгородский филиал ПАО "Россети Северо-Запад"</t>
  </si>
  <si>
    <t>ставка на оплату технологического расхода (потерь) Новгородский филиал ПАО "Россети Северо-Запад"</t>
  </si>
  <si>
    <t>одноставочный тариф Новгородский филиал ПАО "Россети Северо-Запад"</t>
  </si>
  <si>
    <t>АО "Новгородоблэлектро"</t>
  </si>
  <si>
    <t>ставка на содержание сетей АО "Новгородоблэлектро"</t>
  </si>
  <si>
    <t>ставка на оплату технологического расхода (потерь) АО "Новгородоблэлектро"</t>
  </si>
  <si>
    <t>одноставочный тариф АО "Новгородоблэлектро"</t>
  </si>
  <si>
    <t>Дифференцированные ставки (если не заполняется, то можно скрыть)</t>
  </si>
  <si>
    <t>ставка на содержание сетей на диапазоне напряжения ВН</t>
  </si>
  <si>
    <t>ставка на содержание сетей на диапазоне напряжения СН1</t>
  </si>
  <si>
    <t>ставка на содержание сетей на диапазоне напряжения СН2</t>
  </si>
  <si>
    <t>ставка на содержание сетей на диапазоне напряжения НН</t>
  </si>
  <si>
    <t>&lt;*&gt; Базовый период - год, предшествующий расчетному периоду регулирования (указаны показатели, опубликованные в установленном порядке).</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</si>
  <si>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</si>
  <si>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</si>
  <si>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</si>
  <si>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План</t>
  </si>
  <si>
    <t>Факт</t>
  </si>
  <si>
    <t>ТИП.ПРОГР</t>
  </si>
  <si>
    <t>Версия регулятора</t>
  </si>
  <si>
    <t>Наименование показателя</t>
  </si>
  <si>
    <t>Утверждено</t>
  </si>
  <si>
    <t>Материальные затраты</t>
  </si>
  <si>
    <t>1.2.1</t>
  </si>
  <si>
    <t>Сырье, материалы, запасные части, инструмент, топливо</t>
  </si>
  <si>
    <t>Работы и услуги производственного характера (в т.ч. услуги сторонних организаций по содержанию сетей и распределительных устройств)</t>
  </si>
  <si>
    <t>2.2</t>
  </si>
  <si>
    <t>2.3</t>
  </si>
  <si>
    <t>2.3.1</t>
  </si>
  <si>
    <t>2.4</t>
  </si>
  <si>
    <t>км</t>
  </si>
  <si>
    <t>2.4.1</t>
  </si>
  <si>
    <t>2.4.2</t>
  </si>
  <si>
    <t>2.4.3</t>
  </si>
  <si>
    <t>2.5</t>
  </si>
  <si>
    <t>Период</t>
  </si>
  <si>
    <t>№ п.п.</t>
  </si>
  <si>
    <t>Средняя температура января</t>
  </si>
  <si>
    <t>Толщина стенки гололеда</t>
  </si>
  <si>
    <t>Количество дней переходов температуры через ноль</t>
  </si>
  <si>
    <r>
      <rPr>
        <vertAlign val="superscript"/>
        <sz val="9"/>
        <rFont val="Tahoma"/>
        <family val="2"/>
        <charset val="204"/>
      </rPr>
      <t>о</t>
    </r>
    <r>
      <rPr>
        <sz val="9"/>
        <rFont val="Tahoma"/>
        <family val="2"/>
        <charset val="204"/>
      </rPr>
      <t>С</t>
    </r>
  </si>
  <si>
    <t>ед.</t>
  </si>
  <si>
    <t>мм</t>
  </si>
  <si>
    <t>Источник</t>
  </si>
  <si>
    <t>СНиП 23-01-99</t>
  </si>
  <si>
    <t>Т1</t>
  </si>
  <si>
    <t>СНиП 2.01.07-85</t>
  </si>
  <si>
    <t>Т2</t>
  </si>
  <si>
    <t>Т3</t>
  </si>
  <si>
    <t>Республика Адыгея</t>
  </si>
  <si>
    <t>Республика Башкортостан</t>
  </si>
  <si>
    <t>Республика Бурятия</t>
  </si>
  <si>
    <t>Республика Дагестан</t>
  </si>
  <si>
    <t>Республика Ингушетия</t>
  </si>
  <si>
    <t>Кабардино-Балкарская Республика</t>
  </si>
  <si>
    <t>Карачаево-Черкесская Республика</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</si>
  <si>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</si>
  <si>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</si>
  <si>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</si>
  <si>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</si>
  <si>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</si>
  <si>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</si>
  <si>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Удмуртская Республика</t>
  </si>
  <si>
    <t>Чеченская Республика</t>
  </si>
  <si>
    <t>Забайкальский край</t>
  </si>
  <si>
    <t>Краснодарский край</t>
  </si>
  <si>
    <t>Приморский край</t>
  </si>
  <si>
    <t>Хабаровский край</t>
  </si>
  <si>
    <t>Амурская область</t>
  </si>
  <si>
    <t>Астраханская область</t>
  </si>
  <si>
    <t>Брянская область</t>
  </si>
  <si>
    <t>Владимирская область</t>
  </si>
  <si>
    <t>Вологодская область</t>
  </si>
  <si>
    <t>Воронежская область</t>
  </si>
  <si>
    <t>Ивановская область</t>
  </si>
  <si>
    <t>Иркутская область</t>
  </si>
  <si>
    <t>Калужская область</t>
  </si>
  <si>
    <t>Кировская область</t>
  </si>
  <si>
    <t>Курганская область</t>
  </si>
  <si>
    <t>Курская область</t>
  </si>
  <si>
    <t>Липецкая область</t>
  </si>
  <si>
    <t>Московская область</t>
  </si>
  <si>
    <t>Мурманская область</t>
  </si>
  <si>
    <t>Нижегородская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</si>
  <si>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</si>
  <si>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</si>
  <si>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</si>
  <si>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</si>
  <si>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</si>
  <si>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</si>
  <si>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</si>
  <si>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Саратовская область</t>
  </si>
  <si>
    <t>Свердловская область</t>
  </si>
  <si>
    <t>Смоленская область</t>
  </si>
  <si>
    <t>Тамбовская область</t>
  </si>
  <si>
    <t>Тульская область</t>
  </si>
  <si>
    <t>Тюменская область</t>
  </si>
  <si>
    <t>Ярославская область</t>
  </si>
  <si>
    <t>г. Москва</t>
  </si>
  <si>
    <t>г. Санкт-Петербург</t>
  </si>
  <si>
    <t>Ханты-Мансийский автономный округ - Югра</t>
  </si>
  <si>
    <t>Ямало-Ненецкий автономный округ</t>
  </si>
  <si>
    <t>Камчатский край</t>
  </si>
  <si>
    <t>Сахалинская область</t>
  </si>
  <si>
    <t>г. Севастополь</t>
  </si>
  <si>
    <t>Ненецкий автономный округ</t>
  </si>
  <si>
    <t>Чукотский автономный округ</t>
  </si>
  <si>
    <t>Показатель</t>
  </si>
  <si>
    <t>где:</t>
  </si>
  <si>
    <t>Индекс эффективности, на основании рейтинга эффективности</t>
  </si>
  <si>
    <t>ПРД3</t>
  </si>
  <si>
    <t>Расчет величины базового уровня операционных, подконтрольных расходов</t>
  </si>
  <si>
    <t>L.OPR.BASEOPR</t>
  </si>
  <si>
    <t>Базовый уровень ОПР</t>
  </si>
  <si>
    <r>
      <t>БазOPEX</t>
    </r>
    <r>
      <rPr>
        <vertAlign val="superscript"/>
        <sz val="9"/>
        <rFont val="Tahoma"/>
        <family val="2"/>
        <charset val="204"/>
      </rPr>
      <t>n</t>
    </r>
    <r>
      <rPr>
        <sz val="9"/>
        <rFont val="Tahoma"/>
        <family val="2"/>
        <charset val="204"/>
      </rPr>
      <t>m+1 = 0,3×Эф. Орех</t>
    </r>
    <r>
      <rPr>
        <vertAlign val="superscript"/>
        <sz val="9"/>
        <rFont val="Tahoma"/>
        <family val="2"/>
        <charset val="204"/>
      </rPr>
      <t>n</t>
    </r>
    <r>
      <rPr>
        <sz val="9"/>
        <rFont val="Tahoma"/>
        <family val="2"/>
        <charset val="204"/>
      </rPr>
      <t>m+1 + 0,7×ОПР</t>
    </r>
    <r>
      <rPr>
        <vertAlign val="superscript"/>
        <sz val="9"/>
        <rFont val="Tahoma"/>
        <family val="2"/>
        <charset val="204"/>
      </rPr>
      <t>n му</t>
    </r>
    <r>
      <rPr>
        <sz val="9"/>
        <rFont val="Tahoma"/>
        <family val="2"/>
        <charset val="204"/>
      </rPr>
      <t>m+1</t>
    </r>
  </si>
  <si>
    <t>L.OPR.EFFECTIVELEVEL</t>
  </si>
  <si>
    <t>Эффективный уровень ОПР</t>
  </si>
  <si>
    <r>
      <t>Эф. Орех</t>
    </r>
    <r>
      <rPr>
        <vertAlign val="superscript"/>
        <sz val="9"/>
        <rFont val="Tahoma"/>
        <family val="2"/>
        <charset val="204"/>
      </rPr>
      <t>n</t>
    </r>
    <r>
      <rPr>
        <sz val="9"/>
        <rFont val="Tahoma"/>
        <family val="2"/>
        <charset val="204"/>
      </rPr>
      <t>m+1 - значение эффективного уровня ОПР ТСО в году m+1, рассчитываемого в соответствии с п. 10 Методических указаний.</t>
    </r>
  </si>
  <si>
    <t>L.OPR.REG</t>
  </si>
  <si>
    <t>Уровень ОПР, рассчитанный органом регулирования</t>
  </si>
  <si>
    <t>L.RATING.COEF</t>
  </si>
  <si>
    <t>Коэффициент изменения рейтинга эффективности ТСО</t>
  </si>
  <si>
    <r>
      <t>k</t>
    </r>
    <r>
      <rPr>
        <vertAlign val="superscript"/>
        <sz val="9"/>
        <rFont val="Tahoma"/>
        <family val="2"/>
        <charset val="204"/>
      </rPr>
      <t>n</t>
    </r>
    <r>
      <rPr>
        <sz val="9"/>
        <rFont val="Tahoma"/>
        <family val="2"/>
        <charset val="204"/>
      </rPr>
      <t xml:space="preserve"> = (Σ</t>
    </r>
    <r>
      <rPr>
        <vertAlign val="superscript"/>
        <sz val="9"/>
        <rFont val="Tahoma"/>
        <family val="2"/>
        <charset val="204"/>
      </rPr>
      <t>m-1</t>
    </r>
    <r>
      <rPr>
        <vertAlign val="subscript"/>
        <sz val="9"/>
        <rFont val="Tahoma"/>
        <family val="2"/>
        <charset val="204"/>
      </rPr>
      <t>i=j</t>
    </r>
    <r>
      <rPr>
        <sz val="9"/>
        <rFont val="Tahoma"/>
        <family val="2"/>
        <charset val="204"/>
      </rPr>
      <t xml:space="preserve"> (R</t>
    </r>
    <r>
      <rPr>
        <vertAlign val="superscript"/>
        <sz val="9"/>
        <rFont val="Tahoma"/>
        <family val="2"/>
        <charset val="204"/>
      </rPr>
      <t>n</t>
    </r>
    <r>
      <rPr>
        <vertAlign val="subscript"/>
        <sz val="9"/>
        <rFont val="Tahoma"/>
        <family val="2"/>
        <charset val="204"/>
      </rPr>
      <t>i</t>
    </r>
    <r>
      <rPr>
        <sz val="9"/>
        <rFont val="Tahoma"/>
        <family val="2"/>
        <charset val="204"/>
      </rPr>
      <t xml:space="preserve"> -R</t>
    </r>
    <r>
      <rPr>
        <vertAlign val="superscript"/>
        <sz val="9"/>
        <rFont val="Tahoma"/>
        <family val="2"/>
        <charset val="204"/>
      </rPr>
      <t>n</t>
    </r>
    <r>
      <rPr>
        <vertAlign val="subscript"/>
        <sz val="9"/>
        <rFont val="Tahoma"/>
        <family val="2"/>
        <charset val="204"/>
      </rPr>
      <t>i-1</t>
    </r>
    <r>
      <rPr>
        <sz val="9"/>
        <rFont val="Tahoma"/>
        <family val="2"/>
        <charset val="204"/>
      </rPr>
      <t>)) / m-j</t>
    </r>
  </si>
  <si>
    <r>
      <t>k</t>
    </r>
    <r>
      <rPr>
        <vertAlign val="superscript"/>
        <sz val="9"/>
        <rFont val="Tahoma"/>
        <family val="2"/>
        <charset val="204"/>
      </rPr>
      <t>n</t>
    </r>
    <r>
      <rPr>
        <sz val="9"/>
        <rFont val="Tahoma"/>
        <family val="2"/>
        <charset val="204"/>
      </rPr>
      <t xml:space="preserve"> - коэффициент изменения рейтинга эффективности ТСО._x000D_</t>
    </r>
  </si>
  <si>
    <t>L.RATING.PREVIOUSYEAR</t>
  </si>
  <si>
    <t>Год, предшествующий периоду регулирования (для рассчета коэффициента)</t>
  </si>
  <si>
    <t>m - год, предшествующий периоду регулирования.</t>
  </si>
  <si>
    <t>L.RATING.FIRSTPREVIOUSLT</t>
  </si>
  <si>
    <t>Год, соответствующий первому году долгосрочного периода регулирования, к которому относится год, предшествующий текущему периоду регулирования</t>
  </si>
  <si>
    <t>j - год, соответствующий первому году долгосрочного периода регулирования, к которому относится год m</t>
  </si>
  <si>
    <r>
      <t>R</t>
    </r>
    <r>
      <rPr>
        <vertAlign val="superscript"/>
        <sz val="9"/>
        <rFont val="Tahoma"/>
        <family val="2"/>
        <charset val="204"/>
      </rPr>
      <t>n</t>
    </r>
    <r>
      <rPr>
        <sz val="9"/>
        <rFont val="Tahoma"/>
        <family val="2"/>
        <charset val="204"/>
      </rPr>
      <t xml:space="preserve">i - значение рейтинга эффективности ТСО в году i. </t>
    </r>
  </si>
  <si>
    <r>
      <t>Если k</t>
    </r>
    <r>
      <rPr>
        <b/>
        <vertAlign val="superscript"/>
        <sz val="9"/>
        <rFont val="Tahoma"/>
        <family val="2"/>
        <charset val="204"/>
      </rPr>
      <t>n</t>
    </r>
    <r>
      <rPr>
        <b/>
        <sz val="9"/>
        <rFont val="Tahoma"/>
        <family val="2"/>
        <charset val="204"/>
      </rPr>
      <t xml:space="preserve"> ≥ - x</t>
    </r>
    <r>
      <rPr>
        <b/>
        <vertAlign val="superscript"/>
        <sz val="9"/>
        <rFont val="Tahoma"/>
        <family val="2"/>
        <charset val="204"/>
      </rPr>
      <t>n</t>
    </r>
    <r>
      <rPr>
        <b/>
        <sz val="9"/>
        <rFont val="Tahoma"/>
        <family val="2"/>
        <charset val="204"/>
      </rPr>
      <t xml:space="preserve"> / 100, то величина эффективного уровня ОПР определяется по формуле:</t>
    </r>
  </si>
  <si>
    <t>L.METHOD1.EFFECTIVELEVEL</t>
  </si>
  <si>
    <t>Эффективный уровень ОПР, первый метод расчета</t>
  </si>
  <si>
    <t>Эф. Орехⁿₘ₊₁ = (1-kⁿ-xⁿ) x OPEXⁿₘ₋₁ x (1-xⁿ)² x (1+ИПЦⁿₘ) x (1+ИПЦⁿₘ₊₁) x (1+ИКАₘⁿ) x (1+ИКАₘ₊₁ⁿ)</t>
  </si>
  <si>
    <t>L.METHOD1.PREVIOUSYEAR</t>
  </si>
  <si>
    <t>Год, предшествующий периоду регулирования (первый мтод расчета)</t>
  </si>
  <si>
    <t>L.IPC</t>
  </si>
  <si>
    <t>ИПЦ</t>
  </si>
  <si>
    <t>L.OPR.INDEXEFFECTIVE</t>
  </si>
  <si>
    <t>Индекс эффективности ОПР</t>
  </si>
  <si>
    <r>
      <t>x</t>
    </r>
    <r>
      <rPr>
        <vertAlign val="superscript"/>
        <sz val="9"/>
        <rFont val="Tahoma"/>
        <family val="2"/>
        <charset val="204"/>
      </rPr>
      <t>n</t>
    </r>
    <r>
      <rPr>
        <sz val="9"/>
        <rFont val="Tahoma"/>
        <family val="2"/>
        <charset val="204"/>
      </rPr>
      <t xml:space="preserve"> - значение индекса эффективности ОПР ТСО, определенное на основании расчета рейтинга эффективности в соответствии с приложением № 3 к Методическим указаниям.</t>
    </r>
  </si>
  <si>
    <t>L.OPR</t>
  </si>
  <si>
    <t>Фактические экономически обоснованные операционные подконтрольные расходы</t>
  </si>
  <si>
    <t>L.ASSETS.CHANGEINDEX</t>
  </si>
  <si>
    <t>Индекс изменения количества активов при расчете долгосрочных тарифов</t>
  </si>
  <si>
    <r>
      <t>ИКА</t>
    </r>
    <r>
      <rPr>
        <vertAlign val="subscript"/>
        <sz val="9"/>
        <rFont val="Tahoma"/>
        <family val="2"/>
        <charset val="204"/>
      </rPr>
      <t>m</t>
    </r>
    <r>
      <rPr>
        <vertAlign val="superscript"/>
        <sz val="9"/>
        <rFont val="Tahoma"/>
        <family val="2"/>
        <charset val="204"/>
      </rPr>
      <t>n</t>
    </r>
    <r>
      <rPr>
        <sz val="9"/>
        <rFont val="Tahoma"/>
        <family val="2"/>
        <charset val="204"/>
      </rPr>
      <t xml:space="preserve"> = К</t>
    </r>
    <r>
      <rPr>
        <vertAlign val="subscript"/>
        <sz val="9"/>
        <rFont val="Tahoma"/>
        <family val="2"/>
        <charset val="204"/>
      </rPr>
      <t>эл</t>
    </r>
    <r>
      <rPr>
        <sz val="9"/>
        <rFont val="Tahoma"/>
        <family val="2"/>
        <charset val="204"/>
      </rPr>
      <t xml:space="preserve"> × (УЕ</t>
    </r>
    <r>
      <rPr>
        <vertAlign val="superscript"/>
        <sz val="9"/>
        <rFont val="Tahoma"/>
        <family val="2"/>
        <charset val="204"/>
      </rPr>
      <t>n</t>
    </r>
    <r>
      <rPr>
        <vertAlign val="subscript"/>
        <sz val="9"/>
        <rFont val="Tahoma"/>
        <family val="2"/>
        <charset val="204"/>
      </rPr>
      <t>m</t>
    </r>
    <r>
      <rPr>
        <sz val="9"/>
        <rFont val="Tahoma"/>
        <family val="2"/>
        <charset val="204"/>
      </rPr>
      <t xml:space="preserve"> - УЕ</t>
    </r>
    <r>
      <rPr>
        <vertAlign val="superscript"/>
        <sz val="9"/>
        <rFont val="Tahoma"/>
        <family val="2"/>
        <charset val="204"/>
      </rPr>
      <t>n</t>
    </r>
    <r>
      <rPr>
        <vertAlign val="subscript"/>
        <sz val="9"/>
        <rFont val="Tahoma"/>
        <family val="2"/>
        <charset val="204"/>
      </rPr>
      <t>m-1</t>
    </r>
    <r>
      <rPr>
        <sz val="9"/>
        <rFont val="Tahoma"/>
        <family val="2"/>
        <charset val="204"/>
      </rPr>
      <t>) / УЕ</t>
    </r>
    <r>
      <rPr>
        <vertAlign val="superscript"/>
        <sz val="9"/>
        <rFont val="Tahoma"/>
        <family val="2"/>
        <charset val="204"/>
      </rPr>
      <t>n</t>
    </r>
    <r>
      <rPr>
        <vertAlign val="subscript"/>
        <sz val="9"/>
        <rFont val="Tahoma"/>
        <family val="2"/>
        <charset val="204"/>
      </rPr>
      <t>m-1</t>
    </r>
  </si>
  <si>
    <t>L.ASSETS.NEEDUNIT</t>
  </si>
  <si>
    <t>Количество условных единиц, относящихся к активам, необходимым для осуществления регулируемой деятельности</t>
  </si>
  <si>
    <r>
      <t>ИКА</t>
    </r>
    <r>
      <rPr>
        <vertAlign val="subscript"/>
        <sz val="9"/>
        <rFont val="Tahoma"/>
        <family val="2"/>
        <charset val="204"/>
      </rPr>
      <t>m+1</t>
    </r>
    <r>
      <rPr>
        <vertAlign val="superscript"/>
        <sz val="9"/>
        <rFont val="Tahoma"/>
        <family val="2"/>
        <charset val="204"/>
      </rPr>
      <t>n</t>
    </r>
    <r>
      <rPr>
        <sz val="9"/>
        <rFont val="Tahoma"/>
        <family val="2"/>
        <charset val="204"/>
      </rPr>
      <t xml:space="preserve"> = К</t>
    </r>
    <r>
      <rPr>
        <vertAlign val="subscript"/>
        <sz val="9"/>
        <rFont val="Tahoma"/>
        <family val="2"/>
        <charset val="204"/>
      </rPr>
      <t>эл</t>
    </r>
    <r>
      <rPr>
        <sz val="9"/>
        <rFont val="Tahoma"/>
        <family val="2"/>
        <charset val="204"/>
      </rPr>
      <t xml:space="preserve"> × (УЕ</t>
    </r>
    <r>
      <rPr>
        <vertAlign val="superscript"/>
        <sz val="9"/>
        <rFont val="Tahoma"/>
        <family val="2"/>
        <charset val="204"/>
      </rPr>
      <t>n</t>
    </r>
    <r>
      <rPr>
        <vertAlign val="subscript"/>
        <sz val="9"/>
        <rFont val="Tahoma"/>
        <family val="2"/>
        <charset val="204"/>
      </rPr>
      <t>m+1</t>
    </r>
    <r>
      <rPr>
        <sz val="9"/>
        <rFont val="Tahoma"/>
        <family val="2"/>
        <charset val="204"/>
      </rPr>
      <t xml:space="preserve"> - УЕ</t>
    </r>
    <r>
      <rPr>
        <vertAlign val="superscript"/>
        <sz val="9"/>
        <rFont val="Tahoma"/>
        <family val="2"/>
        <charset val="204"/>
      </rPr>
      <t>n</t>
    </r>
    <r>
      <rPr>
        <vertAlign val="subscript"/>
        <sz val="9"/>
        <rFont val="Tahoma"/>
        <family val="2"/>
        <charset val="204"/>
      </rPr>
      <t>m</t>
    </r>
    <r>
      <rPr>
        <sz val="9"/>
        <rFont val="Tahoma"/>
        <family val="2"/>
        <charset val="204"/>
      </rPr>
      <t>) / УЕ</t>
    </r>
    <r>
      <rPr>
        <vertAlign val="superscript"/>
        <sz val="9"/>
        <rFont val="Tahoma"/>
        <family val="2"/>
        <charset val="204"/>
      </rPr>
      <t>n</t>
    </r>
    <r>
      <rPr>
        <vertAlign val="subscript"/>
        <sz val="9"/>
        <rFont val="Tahoma"/>
        <family val="2"/>
        <charset val="204"/>
      </rPr>
      <t>m</t>
    </r>
  </si>
  <si>
    <t>L.OPR.COEFELASTIC</t>
  </si>
  <si>
    <t>Коэффициент эластичности операционных подконтрольных расходов по количеству активов, необходимых для осуществления регулируемой деятельности</t>
  </si>
  <si>
    <r>
      <t>К</t>
    </r>
    <r>
      <rPr>
        <vertAlign val="subscript"/>
        <sz val="9"/>
        <rFont val="Tahoma"/>
        <family val="2"/>
        <charset val="204"/>
      </rPr>
      <t>эл</t>
    </r>
    <r>
      <rPr>
        <sz val="9"/>
        <rFont val="Tahoma"/>
        <family val="2"/>
        <charset val="204"/>
      </rPr>
      <t xml:space="preserve"> - коэффициент эластичности операционных, подконтрольных расходов по количеству активов, необходимых для осуществления регулируемой деятельности, устанавливаемый органом регулирования на долгосрочный период регулирования в соответствии с Методическими указаниями по регулированию тарифов с применением метода доходности инвестированного капитала или с Методическими указаниями по расчету тарифов на услуги по передаче электрической энергии, устанавливаемых с применением метода долгосрочной индексации НВВ, в зависимости от применяемого в отношении ТСО метода регулирования.</t>
    </r>
  </si>
  <si>
    <r>
      <t>Если k</t>
    </r>
    <r>
      <rPr>
        <b/>
        <vertAlign val="superscript"/>
        <sz val="9"/>
        <rFont val="Tahoma"/>
        <family val="2"/>
        <charset val="204"/>
      </rPr>
      <t>n</t>
    </r>
    <r>
      <rPr>
        <b/>
        <sz val="9"/>
        <rFont val="Tahoma"/>
        <family val="2"/>
        <charset val="204"/>
      </rPr>
      <t xml:space="preserve"> &lt; - x</t>
    </r>
    <r>
      <rPr>
        <b/>
        <vertAlign val="superscript"/>
        <sz val="9"/>
        <rFont val="Tahoma"/>
        <family val="2"/>
        <charset val="204"/>
      </rPr>
      <t>n</t>
    </r>
    <r>
      <rPr>
        <b/>
        <sz val="9"/>
        <rFont val="Tahoma"/>
        <family val="2"/>
        <charset val="204"/>
      </rPr>
      <t xml:space="preserve"> / 100, то величина эффективного уровня ОПР определяется по формуле:</t>
    </r>
  </si>
  <si>
    <t>L.METHOD2.EFFECTIVELEVEL</t>
  </si>
  <si>
    <t>Эффективный уровень ОПР, второй метод расчета</t>
  </si>
  <si>
    <r>
      <t>Эф. Орех</t>
    </r>
    <r>
      <rPr>
        <vertAlign val="superscript"/>
        <sz val="9"/>
        <rFont val="Tahoma"/>
        <family val="2"/>
        <charset val="204"/>
      </rPr>
      <t>n</t>
    </r>
    <r>
      <rPr>
        <vertAlign val="subscript"/>
        <sz val="9"/>
        <rFont val="Tahoma"/>
        <family val="2"/>
        <charset val="204"/>
      </rPr>
      <t>m+1</t>
    </r>
    <r>
      <rPr>
        <sz val="9"/>
        <rFont val="Tahoma"/>
        <family val="2"/>
        <charset val="204"/>
      </rPr>
      <t xml:space="preserve"> = OPEX</t>
    </r>
    <r>
      <rPr>
        <vertAlign val="superscript"/>
        <sz val="9"/>
        <rFont val="Tahoma"/>
        <family val="2"/>
        <charset val="204"/>
      </rPr>
      <t>n</t>
    </r>
    <r>
      <rPr>
        <vertAlign val="subscript"/>
        <sz val="9"/>
        <rFont val="Tahoma"/>
        <family val="2"/>
        <charset val="204"/>
      </rPr>
      <t xml:space="preserve">m-1 </t>
    </r>
    <r>
      <rPr>
        <sz val="9"/>
        <rFont val="Tahoma"/>
        <family val="2"/>
        <charset val="204"/>
      </rPr>
      <t>× (1-x</t>
    </r>
    <r>
      <rPr>
        <vertAlign val="superscript"/>
        <sz val="9"/>
        <rFont val="Tahoma"/>
        <family val="2"/>
        <charset val="204"/>
      </rPr>
      <t>n</t>
    </r>
    <r>
      <rPr>
        <sz val="9"/>
        <rFont val="Tahoma"/>
        <family val="2"/>
        <charset val="204"/>
      </rPr>
      <t>)</t>
    </r>
    <r>
      <rPr>
        <vertAlign val="superscript"/>
        <sz val="9"/>
        <rFont val="Tahoma"/>
        <family val="2"/>
        <charset val="204"/>
      </rPr>
      <t>2</t>
    </r>
    <r>
      <rPr>
        <sz val="9"/>
        <rFont val="Tahoma"/>
        <family val="2"/>
        <charset val="204"/>
      </rPr>
      <t xml:space="preserve"> × (1+ИПЦ</t>
    </r>
    <r>
      <rPr>
        <vertAlign val="superscript"/>
        <sz val="9"/>
        <rFont val="Tahoma"/>
        <family val="2"/>
        <charset val="204"/>
      </rPr>
      <t>n</t>
    </r>
    <r>
      <rPr>
        <vertAlign val="subscript"/>
        <sz val="9"/>
        <rFont val="Tahoma"/>
        <family val="2"/>
        <charset val="204"/>
      </rPr>
      <t>m)</t>
    </r>
    <r>
      <rPr>
        <sz val="9"/>
        <rFont val="Tahoma"/>
        <family val="2"/>
        <charset val="204"/>
      </rPr>
      <t xml:space="preserve"> × (1+ИПЦ</t>
    </r>
    <r>
      <rPr>
        <vertAlign val="superscript"/>
        <sz val="9"/>
        <rFont val="Tahoma"/>
        <family val="2"/>
        <charset val="204"/>
      </rPr>
      <t>n</t>
    </r>
    <r>
      <rPr>
        <vertAlign val="subscript"/>
        <sz val="9"/>
        <rFont val="Tahoma"/>
        <family val="2"/>
        <charset val="204"/>
      </rPr>
      <t>m+1</t>
    </r>
    <r>
      <rPr>
        <sz val="9"/>
        <rFont val="Tahoma"/>
        <family val="2"/>
        <charset val="204"/>
      </rPr>
      <t>) × (1+ИКА</t>
    </r>
    <r>
      <rPr>
        <vertAlign val="subscript"/>
        <sz val="9"/>
        <rFont val="Tahoma"/>
        <family val="2"/>
        <charset val="204"/>
      </rPr>
      <t>m</t>
    </r>
    <r>
      <rPr>
        <vertAlign val="superscript"/>
        <sz val="9"/>
        <rFont val="Tahoma"/>
        <family val="2"/>
        <charset val="204"/>
      </rPr>
      <t>n</t>
    </r>
    <r>
      <rPr>
        <sz val="9"/>
        <rFont val="Tahoma"/>
        <family val="2"/>
        <charset val="204"/>
      </rPr>
      <t>) × (1+ИКА</t>
    </r>
    <r>
      <rPr>
        <vertAlign val="subscript"/>
        <sz val="9"/>
        <rFont val="Tahoma"/>
        <family val="2"/>
        <charset val="204"/>
      </rPr>
      <t>m+1</t>
    </r>
    <r>
      <rPr>
        <vertAlign val="superscript"/>
        <sz val="9"/>
        <rFont val="Tahoma"/>
        <family val="2"/>
        <charset val="204"/>
      </rPr>
      <t>n</t>
    </r>
    <r>
      <rPr>
        <sz val="9"/>
        <rFont val="Tahoma"/>
        <family val="2"/>
        <charset val="204"/>
      </rPr>
      <t>)</t>
    </r>
  </si>
  <si>
    <r>
      <t>D = (b / p) × x</t>
    </r>
    <r>
      <rPr>
        <vertAlign val="superscript"/>
        <sz val="9"/>
        <rFont val="Tahoma"/>
        <family val="2"/>
        <charset val="204"/>
      </rPr>
      <t>n</t>
    </r>
    <r>
      <rPr>
        <sz val="9"/>
        <rFont val="Tahoma"/>
        <family val="2"/>
        <charset val="204"/>
      </rPr>
      <t xml:space="preserve"> - b × 100%</t>
    </r>
  </si>
  <si>
    <t>b и p - параметры, определяющие допустимое превышение фактических операционных, подконтрольных расходов над установленным в зависимости от расчетной эффективности ТСО, установленные в соответствии с приложением № 6 к Методическим указаниям.</t>
  </si>
  <si>
    <t>величина эффективного уровня ОПР</t>
  </si>
  <si>
    <t>УЕ</t>
  </si>
  <si>
    <t>металл</t>
  </si>
  <si>
    <t>Итого</t>
  </si>
  <si>
    <t>Всего</t>
  </si>
  <si>
    <t>СН-1</t>
  </si>
  <si>
    <t>СН-2</t>
  </si>
  <si>
    <t>1.5</t>
  </si>
  <si>
    <t>1.6</t>
  </si>
  <si>
    <t>1.7</t>
  </si>
  <si>
    <t>1.8</t>
  </si>
  <si>
    <t>1.9</t>
  </si>
  <si>
    <t>2.6</t>
  </si>
  <si>
    <t>2.7</t>
  </si>
  <si>
    <t>2.8</t>
  </si>
  <si>
    <t>2.9</t>
  </si>
  <si>
    <t>Всего условных единиц</t>
  </si>
  <si>
    <t>3.6</t>
  </si>
  <si>
    <t>3.7</t>
  </si>
  <si>
    <t>3.8</t>
  </si>
  <si>
    <t>3.9</t>
  </si>
  <si>
    <t>млн.кВтч</t>
  </si>
  <si>
    <t>6.1</t>
  </si>
  <si>
    <t>Электроэнергия</t>
  </si>
  <si>
    <t>Поступление в сеть</t>
  </si>
  <si>
    <t>1.0</t>
  </si>
  <si>
    <t>АО "Алтайэнергосбыт"</t>
  </si>
  <si>
    <t>Мощность</t>
  </si>
  <si>
    <t>6.2</t>
  </si>
  <si>
    <t>8.1</t>
  </si>
  <si>
    <t>8.2</t>
  </si>
  <si>
    <t>9.1</t>
  </si>
  <si>
    <t>9.2</t>
  </si>
  <si>
    <t>1 полугодие</t>
  </si>
  <si>
    <t>2 полугодие</t>
  </si>
  <si>
    <t>1.1.1</t>
  </si>
  <si>
    <t>1.1.2</t>
  </si>
  <si>
    <t>1.1.3</t>
  </si>
  <si>
    <t>Потери электроэнергии в сети</t>
  </si>
  <si>
    <t>то же в % (п.2/п.1)</t>
  </si>
  <si>
    <t>2.2.1</t>
  </si>
  <si>
    <t>2.2.2</t>
  </si>
  <si>
    <t xml:space="preserve">Полезный отпуск из сети </t>
  </si>
  <si>
    <t>Потери мощности в сети</t>
  </si>
  <si>
    <t>1.1.0</t>
  </si>
  <si>
    <t>3.2.1</t>
  </si>
  <si>
    <t>Отклонение</t>
  </si>
  <si>
    <t>отклонение</t>
  </si>
  <si>
    <t>предложение ТСО</t>
  </si>
  <si>
    <t>Индекс потребительских цен</t>
  </si>
  <si>
    <t>Индекс потребительских цен (используемый при утверждении (план))</t>
  </si>
  <si>
    <t>Индекс эффективности подконтрольных расходов</t>
  </si>
  <si>
    <t>Количество активов</t>
  </si>
  <si>
    <t>Среднегодовое количество условных единиц</t>
  </si>
  <si>
    <t>Индекс изменения количества активов (без учета коэффициента эластичности)</t>
  </si>
  <si>
    <t>Коэффициент эластичности подконтрольных расходов по количеству  активов</t>
  </si>
  <si>
    <t>Итого коэффициент индексации</t>
  </si>
  <si>
    <t>Индекс потребительских цен (факт)</t>
  </si>
  <si>
    <t>Подконтрольные расходы</t>
  </si>
  <si>
    <t>Сырье, основные материалы, вспомогательные материалы, инструмент</t>
  </si>
  <si>
    <t>2.1.1</t>
  </si>
  <si>
    <t>2.1.2</t>
  </si>
  <si>
    <t>Работы и услуги производ. характера</t>
  </si>
  <si>
    <t>Среднесписочная численность</t>
  </si>
  <si>
    <t>чел.</t>
  </si>
  <si>
    <t>Средняя заработная плата</t>
  </si>
  <si>
    <t>руб./чел. в мес.</t>
  </si>
  <si>
    <t>Прочие расходы Всего, в том числе:</t>
  </si>
  <si>
    <t>Ремонт основных средств</t>
  </si>
  <si>
    <t>Оплата работ и услуг сторонних организаций</t>
  </si>
  <si>
    <t>расходы на услуги связи</t>
  </si>
  <si>
    <t>расходы на юридические и информационные услуги</t>
  </si>
  <si>
    <t>расходы на аудиторские и консультационные услуги</t>
  </si>
  <si>
    <t>расходы на услуги транспорта</t>
  </si>
  <si>
    <t>прочие услуги сторонних организаций</t>
  </si>
  <si>
    <t>Расходы на командировки и представительские</t>
  </si>
  <si>
    <t>Расходы на повышение квалификации,  подготовку кадров</t>
  </si>
  <si>
    <t>Расходы на обеспечение нормальных условий труда и мер по технике безопасности</t>
  </si>
  <si>
    <t>Расходы на страхование</t>
  </si>
  <si>
    <t>Энергия на хоз. нужды</t>
  </si>
  <si>
    <t>Другие прочие расходы</t>
  </si>
  <si>
    <t>Расходы на услуги банка</t>
  </si>
  <si>
    <t>Иные прочие расходы</t>
  </si>
  <si>
    <t>Расходы из прибыли Всего, в том числе:</t>
  </si>
  <si>
    <t>Льготы, компенсации и проч.выплаты по колдоговору,прибыль на соц.развитие</t>
  </si>
  <si>
    <t>Дивиденды по акциям</t>
  </si>
  <si>
    <t>Прибыль на прочие цели</t>
  </si>
  <si>
    <t>2.10</t>
  </si>
  <si>
    <t>2.11</t>
  </si>
  <si>
    <t>Итого подконтрольные расходы, принятые к расчету тарифа</t>
  </si>
  <si>
    <t>Расчет неподконтрольных расходов</t>
  </si>
  <si>
    <t>Плата ФСК ЕЭС</t>
  </si>
  <si>
    <t>Неподконтрольные расходы</t>
  </si>
  <si>
    <t>3.1.1</t>
  </si>
  <si>
    <t>руб./МВт в мес.</t>
  </si>
  <si>
    <t>Плата за аренду имущества и лизинг Всего, в том числе</t>
  </si>
  <si>
    <t>Расходы на арендную плату</t>
  </si>
  <si>
    <t>Лизинг</t>
  </si>
  <si>
    <t>Налоги и сборы Всего, в том числе</t>
  </si>
  <si>
    <t>3.3.1</t>
  </si>
  <si>
    <t>3.4.1</t>
  </si>
  <si>
    <t>Прибыль на капитальные вложения</t>
  </si>
  <si>
    <t>3.6.1</t>
  </si>
  <si>
    <t>Электроэнергия на хоз. нужды</t>
  </si>
  <si>
    <t>Возврат заемных стредств</t>
  </si>
  <si>
    <t>Амортизация основных средств</t>
  </si>
  <si>
    <t>3.10</t>
  </si>
  <si>
    <t>Расходы на формирование резерва по сомнительным долгам</t>
  </si>
  <si>
    <t>3.11</t>
  </si>
  <si>
    <t>Компенсация выпадающих доходов по технологическому присоединению (п. 87 Основ ценообразования)</t>
  </si>
  <si>
    <t>3.12</t>
  </si>
  <si>
    <t>Компенсация потерь</t>
  </si>
  <si>
    <t>Расходы на выполнение предусмотренных пунктом 5 статьи 37 Федерального закона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 вложениям</t>
  </si>
  <si>
    <t>Экономия потерь</t>
  </si>
  <si>
    <t>в результате проведения мероприятий по сокращению объема используемых энергетических ресурсов</t>
  </si>
  <si>
    <t>мероприятий в соответсвии с программой в области энергосбережения и повышения энергетической эффективности организаций, осуществляющих регулируемые виды деятельности</t>
  </si>
  <si>
    <t>Расчетная предпринимательская прибыль</t>
  </si>
  <si>
    <t>Сумма корректировок НВВ</t>
  </si>
  <si>
    <t>Корректировки по методике 98-э</t>
  </si>
  <si>
    <t>Корректировка ПР</t>
  </si>
  <si>
    <t>Корректировка НР</t>
  </si>
  <si>
    <t xml:space="preserve">Корректировка по изменению полезного отпуска и цен </t>
  </si>
  <si>
    <t>Корректировка необходимой валовой выручки по доходам от осуществления регулируемой деятельности</t>
  </si>
  <si>
    <t xml:space="preserve">Выполнение инвестиционной программы </t>
  </si>
  <si>
    <t>Корректировка  НВВ по исполнению показателей надежности и качества</t>
  </si>
  <si>
    <t>Корректировка ком. Учета</t>
  </si>
  <si>
    <t>9.3</t>
  </si>
  <si>
    <t>Расходы, связанные с компенсацией незапланированных расходов или полученного избытка</t>
  </si>
  <si>
    <t>Итого НВВ на содержание</t>
  </si>
  <si>
    <t>Услуги ТСО</t>
  </si>
  <si>
    <t>Объём потерь</t>
  </si>
  <si>
    <t>млн. кВт.ч.</t>
  </si>
  <si>
    <t>Тариф потерь</t>
  </si>
  <si>
    <t>руб./тыс.кВт.ч.</t>
  </si>
  <si>
    <t>год</t>
  </si>
  <si>
    <t>Поступление электроэнергии в сеть</t>
  </si>
  <si>
    <t>Коэффициент деления по полугодиям</t>
  </si>
  <si>
    <t xml:space="preserve">Стоимость потерь </t>
  </si>
  <si>
    <t>руб./МВтч</t>
  </si>
  <si>
    <t>Затраты на компенсацию потерь</t>
  </si>
  <si>
    <t>тыс. руб.</t>
  </si>
  <si>
    <t>Одноставочный тариф</t>
  </si>
  <si>
    <t>Проверка</t>
  </si>
  <si>
    <t>Таблица № 2 (смета)</t>
  </si>
  <si>
    <t>№п/п</t>
  </si>
  <si>
    <t>Ед. изм.</t>
  </si>
  <si>
    <t>Утверждено РЭК КО</t>
  </si>
  <si>
    <t>Факт (РЭК КО)</t>
  </si>
  <si>
    <t>Факт (ТСО)</t>
  </si>
  <si>
    <t>Предложение предприятия</t>
  </si>
  <si>
    <t>Версия     РЭК КО</t>
  </si>
  <si>
    <t>Рост</t>
  </si>
  <si>
    <t>Расчёт коэффициента индексации</t>
  </si>
  <si>
    <t>Индекс эффективности операционных расходов</t>
  </si>
  <si>
    <t>Индекс изменения количества активов</t>
  </si>
  <si>
    <t>Коэффициент эластичности затрат по росту активов</t>
  </si>
  <si>
    <t>Расчёт подконтрольных расходов</t>
  </si>
  <si>
    <t>1.1.</t>
  </si>
  <si>
    <t>1.1.1.</t>
  </si>
  <si>
    <t>1.1.2.</t>
  </si>
  <si>
    <t>1.2.</t>
  </si>
  <si>
    <t>1.3.</t>
  </si>
  <si>
    <t>Прочие расходы, всего, в том числе:</t>
  </si>
  <si>
    <t>1.3.1.</t>
  </si>
  <si>
    <t>Ремонт основных фондов</t>
  </si>
  <si>
    <t>1.3.2.</t>
  </si>
  <si>
    <t>1.3.2.1.</t>
  </si>
  <si>
    <t>Услуги связи</t>
  </si>
  <si>
    <t>1.3.2.2.</t>
  </si>
  <si>
    <t>Расходы на услуги вневедомственной охраны и коммунального хозяйства</t>
  </si>
  <si>
    <t>1.3.2.3.</t>
  </si>
  <si>
    <t>Расходы на юридические и информационные услуги</t>
  </si>
  <si>
    <t>1.3.2.4.</t>
  </si>
  <si>
    <t>Расходы на аудиторские и консультационные услуги</t>
  </si>
  <si>
    <t>1.3.2.5.</t>
  </si>
  <si>
    <t>Транспортные услуги</t>
  </si>
  <si>
    <t>1.3.2.6.</t>
  </si>
  <si>
    <t>Прочие услуги сторонних организаций</t>
  </si>
  <si>
    <t>1.3.3.</t>
  </si>
  <si>
    <t>1.3.4.</t>
  </si>
  <si>
    <t>Расходы на подготовку кадров</t>
  </si>
  <si>
    <t>1.3.5.</t>
  </si>
  <si>
    <t>1.3.6.</t>
  </si>
  <si>
    <t>1.3.7.</t>
  </si>
  <si>
    <t>1.3.8.</t>
  </si>
  <si>
    <t>1.3.9.</t>
  </si>
  <si>
    <t>1.4.</t>
  </si>
  <si>
    <t>Подконтрольные расходы из прибыли</t>
  </si>
  <si>
    <t>ИТОГО подконтрольные расходы</t>
  </si>
  <si>
    <t xml:space="preserve">2. </t>
  </si>
  <si>
    <t>Расчёт неподконтрольных расходов</t>
  </si>
  <si>
    <t>2.1.</t>
  </si>
  <si>
    <t>Оплата услуг ОАО "ФСК ЕЭС"</t>
  </si>
  <si>
    <t>2.2.</t>
  </si>
  <si>
    <t>2.3.</t>
  </si>
  <si>
    <t>2.4.</t>
  </si>
  <si>
    <t>Плата за аренду имущества и лизинг</t>
  </si>
  <si>
    <t>2.5.</t>
  </si>
  <si>
    <t>Налоги - всего, в том числе:</t>
  </si>
  <si>
    <t>2.5.1.</t>
  </si>
  <si>
    <t>Плата за землю</t>
  </si>
  <si>
    <t>2.5.2.</t>
  </si>
  <si>
    <t>2.5.2.1.</t>
  </si>
  <si>
    <t>2.5.2.2.</t>
  </si>
  <si>
    <t>2.5.2.3.</t>
  </si>
  <si>
    <t>2.5.2.4.</t>
  </si>
  <si>
    <t>2.5.2.5.</t>
  </si>
  <si>
    <t>2.5.3.</t>
  </si>
  <si>
    <t>Прочие налоги и сборы</t>
  </si>
  <si>
    <t>2.6.</t>
  </si>
  <si>
    <t>Отчисления на социальные нужды (ЕСН)</t>
  </si>
  <si>
    <t>2.7.</t>
  </si>
  <si>
    <t>Прочие неподконтрольные расходы (фонд энергосбережения)</t>
  </si>
  <si>
    <t>2.7.1.</t>
  </si>
  <si>
    <t>2.8.</t>
  </si>
  <si>
    <t>2.9.</t>
  </si>
  <si>
    <t>Выпадающие доходы по п.87 Основ ценообразования</t>
  </si>
  <si>
    <t>2.10.</t>
  </si>
  <si>
    <t>Амортизация ОС</t>
  </si>
  <si>
    <t>2.10.1.</t>
  </si>
  <si>
    <t>2.10.2.</t>
  </si>
  <si>
    <t>2.10.3.</t>
  </si>
  <si>
    <t>2.10.4.</t>
  </si>
  <si>
    <t>2.10.5.</t>
  </si>
  <si>
    <t>2.11.</t>
  </si>
  <si>
    <t>2.11.1.</t>
  </si>
  <si>
    <t>2.11.2.</t>
  </si>
  <si>
    <t>2.11.3.</t>
  </si>
  <si>
    <t>2.11.4.</t>
  </si>
  <si>
    <t>2.11.5.</t>
  </si>
  <si>
    <t>Проверка прибыли на капитальные вложения (не более 12% от НВВ на содержание сетей)</t>
  </si>
  <si>
    <t>ИТОГО неподконтрольных расходов</t>
  </si>
  <si>
    <t>3.</t>
  </si>
  <si>
    <t>Приборы учета</t>
  </si>
  <si>
    <t>4.</t>
  </si>
  <si>
    <t>Расчёт выпадающих доходов (экономии средств) за исключением выпадающих доходов, учтенных в соответствии с п.87 Основ ценообразования</t>
  </si>
  <si>
    <t>5.1.</t>
  </si>
  <si>
    <t>Корректировка НВВ по итогам предыдущих периодов регулирования</t>
  </si>
  <si>
    <t>Расчёт корректировки НВВ в соответсвии с параметрами надёжности и качества</t>
  </si>
  <si>
    <t>6.1.</t>
  </si>
  <si>
    <t>Коэффициент надёжности и качества</t>
  </si>
  <si>
    <t>6.2.</t>
  </si>
  <si>
    <t>Корректировка НВВ в соответствии с параметрами надёжности и качества</t>
  </si>
  <si>
    <t>7.</t>
  </si>
  <si>
    <t>8.</t>
  </si>
  <si>
    <t>Итого НВВ на содержание без платы ФСК</t>
  </si>
  <si>
    <t>Расчёт расходов на оплату потерь элетрической энергии в электрических сетях</t>
  </si>
  <si>
    <t>9.1.</t>
  </si>
  <si>
    <t>9.2.</t>
  </si>
  <si>
    <t>9.3.</t>
  </si>
  <si>
    <t>Итого расходов на оплату потерь</t>
  </si>
  <si>
    <t>10.</t>
  </si>
  <si>
    <t>Расчёт расходов на оплату услуг территориальных сетевых организаций</t>
  </si>
  <si>
    <t>10.1.</t>
  </si>
  <si>
    <t>10.2.</t>
  </si>
  <si>
    <t>Итого расходов на оплату услуг территориальных сетевых организаций</t>
  </si>
  <si>
    <t>11.</t>
  </si>
  <si>
    <t>Итого НВВ</t>
  </si>
  <si>
    <t>12.</t>
  </si>
  <si>
    <t>Итого НВВ без платы ФСК</t>
  </si>
  <si>
    <t>(подпись)</t>
  </si>
  <si>
    <t>Определение индекса эффективности операционных, подконтрольных расходов</t>
  </si>
  <si>
    <t>Обозначение</t>
  </si>
  <si>
    <t>Формула расчета</t>
  </si>
  <si>
    <t>Подконтрольные расходы факт, тыс. руб.</t>
  </si>
  <si>
    <t>OPEX</t>
  </si>
  <si>
    <t>Коэффициенты нормализации</t>
  </si>
  <si>
    <t>LМВА</t>
  </si>
  <si>
    <t>протяженность линий ЭП, км</t>
  </si>
  <si>
    <t>Lкм</t>
  </si>
  <si>
    <t>установл тр мощность, МВА</t>
  </si>
  <si>
    <t>Lтп</t>
  </si>
  <si>
    <t>макс кол-во точек присоединения, шт</t>
  </si>
  <si>
    <t>Lпо</t>
  </si>
  <si>
    <t>Приведенные удельные показатели</t>
  </si>
  <si>
    <t>Y МВА</t>
  </si>
  <si>
    <t>(OPEX*С*Т)/МВА</t>
  </si>
  <si>
    <t>MМВА</t>
  </si>
  <si>
    <t>Y км</t>
  </si>
  <si>
    <t>(OPEX*С*Т)/км</t>
  </si>
  <si>
    <t>Mкм</t>
  </si>
  <si>
    <t>Y тп</t>
  </si>
  <si>
    <t>(OPEX*С*Т)/тп</t>
  </si>
  <si>
    <t>Mтп</t>
  </si>
  <si>
    <t>Нормализованные удельные показатели</t>
  </si>
  <si>
    <t>N МВА</t>
  </si>
  <si>
    <t>YМВА*LМВА-MМВА</t>
  </si>
  <si>
    <t>Mпо</t>
  </si>
  <si>
    <t>N км</t>
  </si>
  <si>
    <t>Yкм*Lкм-Mкм</t>
  </si>
  <si>
    <t>Коэфф. приведения затрат по климату, Т</t>
  </si>
  <si>
    <t>N тп</t>
  </si>
  <si>
    <t>Yтп*Lтп-Mтп</t>
  </si>
  <si>
    <t>Коэфф. приведения затрат по уровню цен, С</t>
  </si>
  <si>
    <t>рейтинг эффективности</t>
  </si>
  <si>
    <t>R</t>
  </si>
  <si>
    <t>(Nмва+Nкм+Nтп)/ 3</t>
  </si>
  <si>
    <t>Xn</t>
  </si>
  <si>
    <t>В соотв. с приложением 3 к МУ № 421-э</t>
  </si>
  <si>
    <t>Индекс эффективности, для учета в тарифе</t>
  </si>
  <si>
    <t>Коэффициент изменения рейтинга</t>
  </si>
  <si>
    <t>Кп</t>
  </si>
  <si>
    <t>недостоверные данные</t>
  </si>
  <si>
    <t>Проверка по п. 13 МУ 421-э</t>
  </si>
  <si>
    <t>Эф.OPEX</t>
  </si>
  <si>
    <t>D</t>
  </si>
  <si>
    <t>ОПР 2019 план</t>
  </si>
  <si>
    <t>ОПРфакт-ОПРутв</t>
  </si>
  <si>
    <r>
      <t>ОПР</t>
    </r>
    <r>
      <rPr>
        <vertAlign val="superscript"/>
        <sz val="9"/>
        <rFont val="Tahoma"/>
        <family val="2"/>
        <charset val="204"/>
      </rPr>
      <t>му</t>
    </r>
  </si>
  <si>
    <t>В соответствии с приказом ФСТ от 17.02.12 № 98-э</t>
  </si>
  <si>
    <t>Баз.ОРЕХ</t>
  </si>
  <si>
    <t>Расчет коэффициента индексации</t>
  </si>
  <si>
    <t>индекс потребительских цен</t>
  </si>
  <si>
    <t>индекс эффективности подконтрольных расходов</t>
  </si>
  <si>
    <t>количество активов (предложение ТСО)</t>
  </si>
  <si>
    <t>количество активов</t>
  </si>
  <si>
    <t>индекс изменения количества активов</t>
  </si>
  <si>
    <t>коэффициент эластичности подконтрольных расходов по количеству  активов</t>
  </si>
  <si>
    <t>максимальная возможная корректировка необходимой валовой выручки, осуществляемая с учетом достижения установленного уровня надежности и качества услуг</t>
  </si>
  <si>
    <t>итого коэффициент индексации</t>
  </si>
  <si>
    <t>Отклонение от варианта ТСО</t>
  </si>
  <si>
    <t>Примечание</t>
  </si>
  <si>
    <t>Материальные затраты, в т.ч.:</t>
  </si>
  <si>
    <t>тыс.руб</t>
  </si>
  <si>
    <t>чел</t>
  </si>
  <si>
    <t>з/п</t>
  </si>
  <si>
    <t>1.3.1</t>
  </si>
  <si>
    <t>1.3.2</t>
  </si>
  <si>
    <t>1.3.2.1</t>
  </si>
  <si>
    <t>услуги связи</t>
  </si>
  <si>
    <t>1.3.2.2</t>
  </si>
  <si>
    <t>1.3.2.3</t>
  </si>
  <si>
    <t>1.3.2.4</t>
  </si>
  <si>
    <t>1.3.2.5</t>
  </si>
  <si>
    <t>1.3.2.6</t>
  </si>
  <si>
    <t>1.3.3</t>
  </si>
  <si>
    <t>1.3.4</t>
  </si>
  <si>
    <t>1.3.5</t>
  </si>
  <si>
    <t>1.3.6</t>
  </si>
  <si>
    <t>1.3.7</t>
  </si>
  <si>
    <t>Аренда, всего</t>
  </si>
  <si>
    <t>в том числе аренда объектов электро-_x000D_
сетевого комплекса</t>
  </si>
  <si>
    <t>Налоги (без учета налога на прибыль), всего, в том числе:</t>
  </si>
  <si>
    <t>плата за землю</t>
  </si>
  <si>
    <t>Налог на прибыль, в том числе:</t>
  </si>
  <si>
    <t>2.7.1</t>
  </si>
  <si>
    <t xml:space="preserve">налог на прибыль на капитальные вложения </t>
  </si>
  <si>
    <t>Возврат заемных средств, направляемый на финансирование капитальных вложений</t>
  </si>
  <si>
    <t>2.12</t>
  </si>
  <si>
    <t>корректировка подконтрольных расходов в связи с изменением планируемых параметров расчета тарифов</t>
  </si>
  <si>
    <t>корректировка неподконтрольных расходов исходя из фактических значений указанного параметра</t>
  </si>
  <si>
    <t>корректировка НВВ по доходам от осуществления регулируемой деятельности</t>
  </si>
  <si>
    <t>корректировка НВВ с учетом изменения полезного отпуска и цен на электрическую энергию</t>
  </si>
  <si>
    <t>корректировка НВВ с учетом достижения показателей качества и надежности</t>
  </si>
  <si>
    <t>корректировка ком. Учета</t>
  </si>
  <si>
    <t xml:space="preserve">выполнение инвестиционной программы </t>
  </si>
  <si>
    <t>Итого НВВ на содержание сетей</t>
  </si>
  <si>
    <t>Рост НВВ к предыдущему году</t>
  </si>
  <si>
    <t>НВВ в котле</t>
  </si>
  <si>
    <t>форма 46</t>
  </si>
  <si>
    <t>форма 3.1</t>
  </si>
  <si>
    <t>для расчета</t>
  </si>
  <si>
    <t>ПО всего</t>
  </si>
  <si>
    <t>ПО собств.</t>
  </si>
  <si>
    <t>ПО сторона</t>
  </si>
  <si>
    <t>доля стороны</t>
  </si>
  <si>
    <t>%ЕСН</t>
  </si>
  <si>
    <t xml:space="preserve"> - расчетный индекс эффективности ПР</t>
  </si>
  <si>
    <t xml:space="preserve">Определение фактических экономически обоснованных подконтрольных расходов </t>
  </si>
  <si>
    <t>План скорр.</t>
  </si>
  <si>
    <t>Факт _x000D_
вариант ТСО</t>
  </si>
  <si>
    <t>Факт _x000D_
вариант МТРиЭ</t>
  </si>
  <si>
    <t xml:space="preserve">∆ПР </t>
  </si>
  <si>
    <t>Вᵢинд = ∆ПPᵢ + ∆НРᵢ + ∆Уᵢ + ∆НВВᵢсод + ПОᵢ</t>
  </si>
  <si>
    <t>Корректировка подконтрольных расходов _x000D_
в связи с изменением планируемых параметров расчета тарифов</t>
  </si>
  <si>
    <t>∆ПРi = ПРi-3х(Кф индi-2 - К индi-2)</t>
  </si>
  <si>
    <t>тыс. руб</t>
  </si>
  <si>
    <t>у.е</t>
  </si>
  <si>
    <t>факт УЕ по варианту ТСО</t>
  </si>
  <si>
    <t>Корректировка неподконтрольных расходов _x000D_
исходя из фактических значений указанного параметра</t>
  </si>
  <si>
    <t>∆НРᵢ₋₂ = НРᵢ₋₂расх.факт - ∆НРᵢ₋₂расх.план</t>
  </si>
  <si>
    <t>Отклонение _x000D_
факт-план</t>
  </si>
  <si>
    <t>7.1</t>
  </si>
  <si>
    <t>Корректировка необходимой валовой выручки регулируемой организации с учетом изменения полезного отпуска и цен на электрическую энергию</t>
  </si>
  <si>
    <t>ПОᵢ = min{Пфᵢ₋₂;N устᵢ₋₂ х Эᵢ₋₂отп.ф} х ЦП фᵢ₋₂ - Э отп плᵢ₋₂ х N устᵢ₋₂ х ЦПᵢ₋₂</t>
  </si>
  <si>
    <t>ПОᵢ = (Эᵢ₋₂отп.ф х ЦП фᵢ₋₂ х N - Э отп плᵢ₋₂ х ЦПᵢ₋₂ х N) – max (0; N устᵢ₋₂ х Эᵢ₋₂отп.ф - Пфᵢ₋₂)</t>
  </si>
  <si>
    <t>Величина фактических потерь электрической энергии в сетях</t>
  </si>
  <si>
    <r>
      <t>П</t>
    </r>
    <r>
      <rPr>
        <vertAlign val="superscript"/>
        <sz val="9"/>
        <color theme="1"/>
        <rFont val="Tahoma"/>
        <family val="2"/>
        <charset val="204"/>
      </rPr>
      <t>Ф</t>
    </r>
  </si>
  <si>
    <t>тыс. кВт∙ч</t>
  </si>
  <si>
    <t>Уровень потерь электрической энергии при ее передаче по электрическим сетям, установленный регулирующим органом</t>
  </si>
  <si>
    <t>N</t>
  </si>
  <si>
    <t>Фактический объем отпуска электрической энергии в сеть ТСО</t>
  </si>
  <si>
    <r>
      <t>Э</t>
    </r>
    <r>
      <rPr>
        <vertAlign val="superscript"/>
        <sz val="9"/>
        <color theme="1"/>
        <rFont val="Tahoma"/>
        <family val="2"/>
        <charset val="204"/>
      </rPr>
      <t>ОТП.Ф</t>
    </r>
  </si>
  <si>
    <t>Средневзвешенная фактическая цена покупки потерь электрической энергии в сетях ТСО</t>
  </si>
  <si>
    <r>
      <t>ЦП</t>
    </r>
    <r>
      <rPr>
        <vertAlign val="superscript"/>
        <sz val="9"/>
        <color theme="1"/>
        <rFont val="Tahoma"/>
        <family val="2"/>
        <charset val="204"/>
      </rPr>
      <t>Ф</t>
    </r>
  </si>
  <si>
    <t>руб/кВт∙ч</t>
  </si>
  <si>
    <t>Прогнозная цена покупки потерь электрической энергии в сетях, учтенная при установлении тарифа</t>
  </si>
  <si>
    <t>ЦП</t>
  </si>
  <si>
    <t>Корректировка с учетом изменения полезного отпуска и цен на электрическую энергию</t>
  </si>
  <si>
    <t>ПО</t>
  </si>
  <si>
    <t>Экспертиза выполнена на основании материалов, представленных_x000D_
на утверждение в департамент по регулированию цен и тарифов _x000D_
Министерства цифровой экономики и конкуренции Ульяновской области</t>
  </si>
  <si>
    <t>Сведения об организации:</t>
  </si>
  <si>
    <t>Наименование:</t>
  </si>
  <si>
    <t>ИНН/КПП</t>
  </si>
  <si>
    <t>Реквизиты:</t>
  </si>
  <si>
    <t>Ф.И.О. Руководителя</t>
  </si>
  <si>
    <t>Уполномоченный по делу от организации:</t>
  </si>
  <si>
    <t>Информация о рассмотрении дела об установлении тарифов:</t>
  </si>
  <si>
    <t>Действующие тарифы установлены постановлением:</t>
  </si>
  <si>
    <t>дата</t>
  </si>
  <si>
    <t>номер</t>
  </si>
  <si>
    <t>Дата представления документов в регулирующий орган:</t>
  </si>
  <si>
    <t>Приказ об открытии дела об установлении тарифов:</t>
  </si>
  <si>
    <t>Дата начала и окончания экспертизы тарифов:</t>
  </si>
  <si>
    <t>начало</t>
  </si>
  <si>
    <t>окончание</t>
  </si>
  <si>
    <t>Уполномоченный по делу:</t>
  </si>
  <si>
    <t>1.1 Нормативно-правовые акты, применяемые при регулировании тарифов на услуги по передаче электрической энергии:</t>
  </si>
  <si>
    <t>Сущность государственного регулирования тарифов состоит в установлении экономически обоснованных тарифов на электрическую энергию. При рассмотрении представленных материалов, эксперты руководствовались основными принципами государственного регулирования тарифов, предусмотренными действующим законодательством.</t>
  </si>
  <si>
    <t>1. Налоговый кодекс РФ</t>
  </si>
  <si>
    <t xml:space="preserve">2. Федеральный закон Российской Федерации от 26.03.2003 № 35-ФЗ «Об электроэнергетике»; </t>
  </si>
  <si>
    <t>3. Постановление Правительства Российской Федерации от 29.12.2011 № 1178 «О ценообразовании в области регулируемых цен (тарифов) в электроэнергетике»;</t>
  </si>
  <si>
    <t>4. Постановление Правительства Российской Федерации от 28.02.2015 № 184 «Об отнесении владельцев объектов электросетевого хозяйства к территориальным сетевым организациям».</t>
  </si>
  <si>
    <t>5. Постановление Правительства Российской Федерации от 31.12.2009 № 1220 «Об определении применяемых при установлении долгосрочных тарифов показателей надежности и качества поставляемых товаров и оказываемых услуг»;</t>
  </si>
  <si>
    <t>6. Приказ Федеральной службы по тарифам России от 28.03.2013 № 313-э «Об утверждении Регламента установления цен (тарифов) и (или) их предельных уровней, предусматривающего порядок регистрации, принятия к рассмотрению и выдачи отказов в рассмотрении заявлений об установлении цен (тарифов) и (или) их предельных уровней и формы принятия решения органом исполнительной власти субъекта Российской Федерации в области государственного регулирования тарифов»;</t>
  </si>
  <si>
    <t>7. Приказ Федеральной службы по тарифам России от 06.08.2004 № 20-э/2 «Об утверждении Методических указаний по расчету регулируемых тарифов и цен на электрическую (тепловую) энергию на розничном (потребительском) рынке»;</t>
  </si>
  <si>
    <t>8. Приказ Федеральной службы по тарифам России от 17.02.2012 № 98-э «Об утверждении методических указаний по расчету тарифов на услуги по передаче электрической энергии, устанавливаемых с применением метода долгосрочной индексации необходимой валовой выручки»;</t>
  </si>
  <si>
    <t xml:space="preserve">9. Приказ Федеральной службы по тарифам России от 26.10.2010 № 254-э/1 «Об утверждении Методических указаний по расчету и применению понижающих (повышающих) коэффициентов, позволяющих обеспечить соответствие уровня тарифов, установленных для организаций, осуществляющих регулируемую деятельность, уровню надежности и качества поставляемых товаров и оказываемых услуг»;_x000D_
</t>
  </si>
  <si>
    <t>10. Приказ Министерства энергетики Российской Федерации от 14.10.2013 г. № 718 «Об утверждении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(общероссийской) электрической сетью и территориальных сетевых организаций»;</t>
  </si>
  <si>
    <t xml:space="preserve">11. Приказ Министерства энергетики Российской Федерации от 26.09.2017 № 887 «Об утверждении нормативов потерь электрической энергии при ее передаче по электрическим сетям территориальных сетевых организаций»._x000D_
_x000D_
</t>
  </si>
  <si>
    <t>12. Приказ ФАС России от 19.06.2018 № 834/18 "Регламентом установления цен (тарифов) и (или) их предельных уровней, предусматривающий порядок регистрации, принятия к рассмотрению и выдачи отказов в рассмотрении заявлений об установлении цен (тарифов) и (или) их предельных уровней"</t>
  </si>
  <si>
    <t>от</t>
  </si>
  <si>
    <t>№</t>
  </si>
  <si>
    <t>15. Прогноз социально-экономического развития Российской Федерации, одобренный Правительством РФ;</t>
  </si>
  <si>
    <t>16. Прочие Законы и подзаконные акты</t>
  </si>
  <si>
    <t>17. Методические разработки и подходы, действующие в отношении сферы и предмета государственного регулирования тарифов на продукцию (услуги) в электроэнергетике</t>
  </si>
  <si>
    <t xml:space="preserve">В соответствии с п.4. Типового положения об органе исполнительной власти субъекта Российской Федерации в области государственного регулирования тарифов, утверждённого Постановлением Правительства РФ от </t>
  </si>
  <si>
    <t>1.2 Основные цели проведения экспертизы:</t>
  </si>
  <si>
    <t>В соответствии с Положениями Основ ценообразования, проведен расчёт необходимой валовой выручки и определение ее экономической обоснованности._x000D_
В соответствии с пунктом 7 постановления Правительства РФ от 29.12.2011 №1178 при установлении регулируемых цен (тарифов) регулирующие органы принимают меры, направленные на исключение из расчетов экономически необоснованных расходов организаций, осуществляющих регулируемую деятельность. К экономически необоснованным расходам организаций, осуществляющих регулируемую деятельность, относятся в том числе выявленные на основании данных статистической и бухгалтерской отчетности за год и иных материалов.</t>
  </si>
  <si>
    <t>1.3. Методы проведения экспертизы</t>
  </si>
  <si>
    <t xml:space="preserve">В соответствии с п. 12 Основ ценообразования в области регулируемых цен (тарифов) в электроэнергетике, утвержденных постановлением Правительства Российской Федерации №1178 от </t>
  </si>
  <si>
    <t>•	экспертиза соответствия расчёта тарифа на передачу электрической энергии и формы представления расчётных документов утвержденным нормативно-методическим документам по расчёту тарифов;</t>
  </si>
  <si>
    <t xml:space="preserve">1.4. Особые условия </t>
  </si>
  <si>
    <t>Представленные организацией предложения и материалы по расчёту необходимой валовой выручки по методу долгосрочной индексации, соответствуют требованиям Правил государственного регулирования и Методических указаний по регулированию тарифов с применением метода долгосрочной индексации необходимой валовой выручки.</t>
  </si>
  <si>
    <t>раскрытия информации субъектами оптового и розничных рынков электрической энергии, утверждёнными постановлением Правительства РФ от 21.01.2004 № 24. Опубликованное на сайте предприятия предложение соответствует предложению, представленному в орган регулирования.</t>
  </si>
  <si>
    <t>сайт</t>
  </si>
  <si>
    <t>Экспертами рассматривались и принимались во внимание все представленные документы, имеющие значение для составления доказательного и независимого экспертного заключения. Эксперты исходили из того, что представленная информация является достоверной._x000D_
В соответствии с п. 22 Правил государственного регулирования (пересмотра, применения) цен (тарифов) в электроэнергетике, утверждённых постановлением Правительства РФ от 29.12.2011 № 1178, экспертные заключения, которые могут предоставлять организации, осуществляющие регулируемую деятельность, потребители и (или) иные заинтересованные организации, не направлялись в регулирующий орган.</t>
  </si>
  <si>
    <t>Выводы экспертов, приведённые в настоящем Заключении, основывались исключительно на результатах экспертизы представленных расчётных документов.</t>
  </si>
  <si>
    <t>1.5. Анализ соответствия расчёта тарифов и формы предоставления предложений нормативно-методическим документам</t>
  </si>
  <si>
    <t>На экспертизу представлены следующие материалы:</t>
  </si>
  <si>
    <t>3. документы, подтверждающие регулируемую деятельность, документы, подтверждающие право собственности или иные законные основания владения в отношении объектов, используемых для осуществления деятельности;</t>
  </si>
  <si>
    <t>5. отчётность, содержащая данные раздельного учёта по формам, утверждённым приказом Минэнерго России от 13.12.2011 № 585</t>
  </si>
  <si>
    <t>6. Договор на покупку электрической энергии c энергосбытовой организацией в целях компенсации потерь;</t>
  </si>
  <si>
    <t>7. Список потребителей электрической энергии (субабонентов) с актами разграничения (границами раздела) балансовой принадлежности;</t>
  </si>
  <si>
    <t>8. Уточненная однолинейная схема электроснабжения, выполненная в соответствии с техническими показателями электрических сетей по диапазонам напряжений, с актами разграничения (границами раздела) балансовой принадлежности и эксплуатационной ответственности с поставщиком электрической энергии (приложение к договору), значением питающего напряжения центра питания – подстанции (ПС) и количественными показателями выделенных участков электрических сетей, используемых для передачи электроэнергии конкретному потребителю (протяженность ЛЭП: ВЛ и КЛ в км., наименование одно- и двух трансформаторных ТП, трансформаторов собственных нужд (ТСН), количество масляных (вакуумных, элегазовых) выключателей и выключателей нагрузки, состоящих на балансе) в соответствии с формами П2.1, П2.2;</t>
  </si>
  <si>
    <t>9. Расчет  условных  единиц согласно Методическим указаниям ФСТ России от 06.08.2004 № 20-э/2 (приложение 2, таблицы № П2.1,  П2.2, П2.3);</t>
  </si>
  <si>
    <t>11. иные материалы, необходимые для проведения расчётов и принятия решений.</t>
  </si>
  <si>
    <t>2. АНАЛИЗ ФИНАНСОВЫХ И ПРОИЗВОДСТВЕННЫХ ПОКАЗАТЕЛЕЙ</t>
  </si>
  <si>
    <t>2.1. Оценка финансового состояния</t>
  </si>
  <si>
    <t>зарегистрировано (дата)</t>
  </si>
  <si>
    <t>зарегистрировано (ИФНС)</t>
  </si>
  <si>
    <t xml:space="preserve">Основной вид деятельности предприятия </t>
  </si>
  <si>
    <t>Электросетевое хозяйство в собственности:</t>
  </si>
  <si>
    <t>Электросетевое хозяйство в аренде:</t>
  </si>
  <si>
    <t>Является плательщиком налога на добавленную стоимость.</t>
  </si>
  <si>
    <t>В соответствии с Правилами государственного регулирования и применения тарифов на электрическую энергию, утверждёнными постановлением Правительства РФ от 29.12.2011 № 1178, экспертами проведён финансовый анализ и дана оценка финансового состояния организации, за отчётный период, за который имелась бухгалтерская и иная отчётность на момент принятия тарифно-балансовых решений</t>
  </si>
  <si>
    <t xml:space="preserve">Объект налогообложения </t>
  </si>
  <si>
    <t>Абсолютный прирост</t>
  </si>
  <si>
    <t>Относительный прирост</t>
  </si>
  <si>
    <t>Балансовые показатели</t>
  </si>
  <si>
    <t>Общая стоимость имущества (валюта баланса)</t>
  </si>
  <si>
    <t>Стоимость внеоборотных активов или недвижимого имущества (стр. 1100 баланса), в том числе</t>
  </si>
  <si>
    <t>основные средства</t>
  </si>
  <si>
    <t>Стоимость оборотных активов (стр. 1200 баланса)</t>
  </si>
  <si>
    <t>Величина собственных средств - капитал и резервы (стр. 1300 баланса)</t>
  </si>
  <si>
    <t>Величина заемных средств (сумма Итогов  разделов 4 и 5 баланса)</t>
  </si>
  <si>
    <t>Показатели дебиторской и кредиторской задолженности</t>
  </si>
  <si>
    <t>Дебиторская задолженность (долгосрочная и краткосрочная)</t>
  </si>
  <si>
    <t>Кредиторская задолженность (долгосрочная и краткосрочная)</t>
  </si>
  <si>
    <t>Показатели доходов и расходов</t>
  </si>
  <si>
    <t>в т.ч. передача э/э</t>
  </si>
  <si>
    <t>Себестоимость</t>
  </si>
  <si>
    <t>Коммерческие расходы</t>
  </si>
  <si>
    <t>Амортизация</t>
  </si>
  <si>
    <t>3.5.1</t>
  </si>
  <si>
    <t>Проценты к получению</t>
  </si>
  <si>
    <t>Проценты к уплате</t>
  </si>
  <si>
    <t>3.7.1</t>
  </si>
  <si>
    <t>Прибыль до налогообложения</t>
  </si>
  <si>
    <t>3.8.1</t>
  </si>
  <si>
    <t>EBITDA</t>
  </si>
  <si>
    <t>3.9.1</t>
  </si>
  <si>
    <t>Чистая прибыль</t>
  </si>
  <si>
    <t>3.10.1</t>
  </si>
  <si>
    <t>Показатели финансовой устойчивости</t>
  </si>
  <si>
    <t>Коэффициент автономии (п. 1.4 / п. 1.1)</t>
  </si>
  <si>
    <t>Отношение долговых обязательств к EBITDA</t>
  </si>
  <si>
    <t>Операционный денежный поток</t>
  </si>
  <si>
    <t>Коэффициент обеспеченности собственными средствами</t>
  </si>
  <si>
    <t>по виду деятельности «Передача электроэнергии» прибыль (тыс.руб.)</t>
  </si>
  <si>
    <t>Основные показатели, влияющие на результат финансово-хозяйственной деятельности предприятия, следующие:</t>
  </si>
  <si>
    <t xml:space="preserve">Выручка по виду деятельности «Передача электроэнергии» составила </t>
  </si>
  <si>
    <t xml:space="preserve">себестоимость составила </t>
  </si>
  <si>
    <t xml:space="preserve">Прочие расходы предприятия по виду деятельности «Передача электроэнергии» составили </t>
  </si>
  <si>
    <t xml:space="preserve">прочие доходы составили </t>
  </si>
  <si>
    <t>Основными её составляющими являются:</t>
  </si>
  <si>
    <t>1. Внеоборотные активы</t>
  </si>
  <si>
    <t xml:space="preserve">или </t>
  </si>
  <si>
    <t>к валюте баланса,</t>
  </si>
  <si>
    <t xml:space="preserve"> Основные составляющие:</t>
  </si>
  <si>
    <t xml:space="preserve">дебиторская задолженность составляет (тыс. руб.) </t>
  </si>
  <si>
    <t xml:space="preserve">запасы (тыс. руб.) </t>
  </si>
  <si>
    <t xml:space="preserve">денежные средства  (тыс. руб.) </t>
  </si>
  <si>
    <t xml:space="preserve">уставный капитал и нераспределённая прибыль (тыс. руб.)  </t>
  </si>
  <si>
    <t xml:space="preserve">кредиторская задолженность (тыс. руб.)  </t>
  </si>
  <si>
    <t>займы (тыс. руб.)</t>
  </si>
  <si>
    <t>на</t>
  </si>
  <si>
    <t xml:space="preserve">коэффициент текущей ликвидности (общей ликвидности), показывает достаточность оборотных средств предприятия для покрытия своих краткосрочных обязательств. Также характеризует запас финансовой прочности вследствие превышения оборотных активов над краткосрочными обязательствами. </t>
  </si>
  <si>
    <t xml:space="preserve">Уровень автономии - доля оборотных средств, обеспеченных собственными средствами организации. Характеризует финансовую устойчивость организации (финансирование текущих операций за счет собственных средств), нормальным считается значение более 10%, пограничным – от 5 до 10%, критическим – менее 5%. Коэффициент показывает, насколько организация независима от кредиторов. </t>
  </si>
  <si>
    <t>Норма</t>
  </si>
  <si>
    <t>Доля дебиторской задолженности в активах составляет</t>
  </si>
  <si>
    <t xml:space="preserve">Показатель общей рентабельности позволяет определить, какую часть выручки от реализации составляет прибыль до налогообложения. Показатель рассчитывается как отношение прибыли до налогообложения к выручке от реализации продукции (работ, услуг). </t>
  </si>
  <si>
    <t>2.2 Организация соответствует критериям отнесения  владельцев объектов электросетевого хозяйства к территориальным сетевым организациям, утвержденным постановлением Правительства РФ от 28.02.2015 № 184:</t>
  </si>
  <si>
    <t>Критерии отнесения  владельцев объектов электросетевого хозяйства к ТСО</t>
  </si>
  <si>
    <t>Отметка о соответствии</t>
  </si>
  <si>
    <t>Владение на праве собственности или на ином законном основании на срок не менее очередного расчетного периода регулирования силовыми трансформаторами, используемыми для осуществления регулируемой деятельности в административных границах субъекта РФ, суммарная установленная мощность которых составляет не менее 30 МВА.</t>
  </si>
  <si>
    <t>Владение на праве собственности (на срок не менее долгосрочного периода регулирования) линиями электропередачи (воздушными и (или) кабельными), расположенными и используемыми для осуществления регулируемой деятельности в административных субъекта Российской Федерации, непосредственно соединенными с трансформаторными и иными подстанциями, указанными в пункте 1, не менее 2 проектных номинальных классов напряжения, сумма протяженностей которых по трассе составляет не менее 50 км:</t>
  </si>
  <si>
    <t>высокое напряжение (ВН) - 110 кВ и выше</t>
  </si>
  <si>
    <t>среднее первое напряжение (СН1) - 27,5-60 кВ</t>
  </si>
  <si>
    <t>среднее второе напряжение (СН2) - 1 - 20 кВ</t>
  </si>
  <si>
    <t>низкое напряжение (НН) - ниже 1 кВ</t>
  </si>
  <si>
    <t>Отсутствие за 3 предшествующих расчетных периода регулирования 3 фактов применения органами исполнительной власти субъектов РФ в области государственного регулирования тарифов понижающих коэффициентов, позволяющих обеспечить соответствие уровня тарифов, установленных для владельца объектов электросетевого хозяйства, уровню надежности и качества поставляемых товаров и оказываемых услуг, а также корректировки цен (тарифов), установленных на долгосрочный период регулирования, в случае представления владельцем объектов электросетевого хозяйства, для которого такие цены (тарифы) установлены, недостоверных отчетных данных, используемых при расчете фактических значений показателей надежности и качества поставляемых товаров и оказываемых услуг, или непредставления таких данных.</t>
  </si>
  <si>
    <t>Наличие выделенного абонентского номера для обращений потребителей услуг по передаче электрической энергии и (или) технологическому присоединению.</t>
  </si>
  <si>
    <t>Наличие официального сайта в информационно-телекоммуникационной сети «Интернет».</t>
  </si>
  <si>
    <t>В рамках подтверждения соответствия критериям отнесения к территориальным сетевым организациям предприятием представлен перечень имущества (пообъектно) с привязкой к местоположению, с разбивкой по условным единицам.</t>
  </si>
  <si>
    <t>Трансформаторных подстанций суммарной трансформаторной емкостью, МВА</t>
  </si>
  <si>
    <t>Общая протяжённость линий электропередач составляет, км</t>
  </si>
  <si>
    <t>среднее первое напряжение (СН1) - 27,5-60 кB</t>
  </si>
  <si>
    <t>Количество активов определено экспертами на основании актов приема - передачи сетевых активов, инвентарных карточках, технических паспортов и пр.</t>
  </si>
  <si>
    <t>Расчётный годовой объем отпуска определён на основании формируемого ФАС России прогнозного баланса производства и поставок электрической (тепловой) энергии (мощности).</t>
  </si>
  <si>
    <t>ед. изм.</t>
  </si>
  <si>
    <t>Факт версии регулятора</t>
  </si>
  <si>
    <t>Утверж- _x000D_
дено</t>
  </si>
  <si>
    <t>План ТСО</t>
  </si>
  <si>
    <t>План регулятора</t>
  </si>
  <si>
    <t>Поступление мощности в сеть</t>
  </si>
  <si>
    <t>3.1. Расчёт подконтрольных расходов</t>
  </si>
  <si>
    <t>Базовый уровень подконтрольных расходов определяется в соответствии с п. 38 Основ ценообразования…, а именно методом экономически обоснованных расходов и методом сравнения аналогов. При этом базовый уровень подконтрольных расходов устанавливается как сумма доли базового уровня подконтрольных расходов, рассчитанного с применением метода экономически обоснованных расходов (затрат) в соответствии с Методическими указаниями № 98-э, и доли базового уровня подконтрольных расходов, рассчитанного с использованием метода сравнения аналогов в соответствии с Методическими указаниями № 421-э.</t>
  </si>
  <si>
    <t>Базовый уровень подконтрольных расходов по методу экономически обоснованных расходов (затрат)</t>
  </si>
  <si>
    <t>Статья «Материальные затраты»</t>
  </si>
  <si>
    <t xml:space="preserve">В данной статье учтены расходы на приобретение сырья, основных материалов, вспомогательных материалов, инструментов и расходы на работы и услуги производственного характера </t>
  </si>
  <si>
    <t xml:space="preserve">В соответствии с п.24 Основ ценообразования в области регулируемых цен (тарифов) в электроэнергетике, утвержденных постановлением Правительства Российской Федерации №1178 от 29.12.2011 в статью включаются расходы на сырье и материалы, используемые для производственных и хозяйственных нужд. Материалы - предметы, срок полезного использования которых менее 1 года, которые относятся к предметам труда и необходимы для производства продукции, работ, услуг, для хозяйственных нужд организации. </t>
  </si>
  <si>
    <t xml:space="preserve">Организация в соответствии с требованиями Федерального закона от 18.07.2011 № 223-ФЗ «О закупках товаров, работ, услуг отдельными видами юридических лиц» размещает информацию о заказах на выделенной «площадке» официального сайта единой информационной системы РФ по адресу www.zakupki.gov.ru в разделе Закупки. </t>
  </si>
  <si>
    <t>Расшифровки в табличной форме по наименованиям, с указанием количества, цены и суммы, оборотно-сальдовые ведомости и карточки по сч.07,08,10,20,25,26,60, копии договоров, счетов и прочих расчётных документов, коммерческие предложения, реестр договоров за 2020 год представлены в материалах тарифного дела в электроннном виде (шаблон формата ФГИС ЕИАС лист Сырье и материалы и сканы обосновывающей документации) . Руководствуясь постановлением Правительства Российской Федерации от 29.12.2011 № 1178 «О ценообразовании в области регулирования цен (тарифов) в электроэнергетике», расходы на приобретение сырья и материалов, используемых для производственных и хозяйственных нужд, рассчитаны на основании:</t>
  </si>
  <si>
    <t xml:space="preserve"> -цен на сырье и материалы, определенных договорами, обеспечивающими целевое и эффективное расходование денежных средств;_x000D_
 -официально опубликованных прогнозных рыночных цен и тарифов; _x000D_
 -нормативно-технической документации Российской Федерации;</t>
  </si>
  <si>
    <t>Расчёт расходов на материалы для текущего ремонта и технического обслуживания состоит из нормируемых расходов на:_x000D_
  • приобретение материалов для проведения технического обслуживания и текущего ремонта;_x000D_
  • приобретение приборов, инструментов и оснастки.</t>
  </si>
  <si>
    <t>Организацией разработаны планы-графики капитального ремонта электроустановок, эксплуатируемых на праве собственности и аренды. Планы-графики капитальных ремонтных работ составлены в соответствии с Правилами технической эксплуатации электроустановок. На основании ПКР планируется выполнение капитальных ремонтов подрядным способом электросетевого объекта._x000D_
Расчёт расходов на работы по ремонту основных фондов осуществляется на основании:_x000D_
 -плана-графика капитального ремонта электроустановок;_x000D_
-дефектных актов на осмотр электроустановок;_x000D_
-смет на капитальный ремонт электроустановок.</t>
  </si>
  <si>
    <t>Расшифровка затрат по данной статье, реестр договоров, оборотно-сальдовые ведомости по счетам 07,08,10, 20, 25,26, 60, график ремонтов, копии договоров о выполнении работ (услуг), акты о приемке выполненных работ формы КС-2, представлены в материалах тарифного дела в электроннном виде (шаблон формата ФГИС ЕИАС листы РПР Ремонт, а так же сканы обосновывающей документации) .</t>
  </si>
  <si>
    <t>Материальные затраты всего, в том числе</t>
  </si>
  <si>
    <t>Следует отметить, что реконструкция, модернизация, техническое перевооружение объектов электроэнергетики согласно п.32 Основ ценообразования, утверждённых Постановлением Правительства РФ от 29.12.2011 № 1178, возможна только за счёт утверждённой в соответствии с законодательством Российской Федерации об электроэнергетике инвестиционной программы.</t>
  </si>
  <si>
    <t>Статья «Расходы на оплату труда»</t>
  </si>
  <si>
    <t>В соответствии с п.26 Основ ценообразования, при определении расходов на оплату труда, включаемых в необходимую валовую выручку, регулирующие органы определяют размер фонда оплаты труда с учётом отраслевых тарифных соглашений, заключённых соответствующими организациями, и фактического объёма фонда оплаты труда и фактической численности работников в последнем расчётном периоде регулирования, а также с учётом прогнозного индекса потребительских цен.</t>
  </si>
  <si>
    <t>- таблица П.1.16 на 2022 год, предусмотренная Методическими указаниями № 20-э/2, в формате шаблона формата ФГИС ЕИАС лист Персонал</t>
  </si>
  <si>
    <t xml:space="preserve">  - Квалификационного справочника (КС) должностей руководителей, специалистов и других служащих организаций электроэнергетики. Используемый квалификационный справочник является нормативным документом, разработанным ОАО «ЦОТэнерго» по поручению РАО «ЕЭС России» и утвержденным постановлением Министерства труда и социального развития Российской Федерации от 29.01.2004 № 4;</t>
  </si>
  <si>
    <t>В таблице 16 по раздельному учёту указана численность</t>
  </si>
  <si>
    <t>Согласно оборотно-сальдовой ведомости по сч.70 численность</t>
  </si>
  <si>
    <t>Экспертами нормативная численность определена на основании приказа Госстроя РФ от 03.04.2000 № 68 и данных таблиц П.2.1. «Объём воздушных линий электропередач (ВЛЭП) и кабельных линий электропередач (КЛЭП) в условных единицах в зависимости от протяжённости, напряжения, конструктивного использования и материала опор» и П.2.2. «Объём подстанций 35-1150 кВ, трансформаторных подстанций (ТП), комплексных трансформаторных подстанций (КТП) и распределительных пунктов (РП) 0,4-20 кВ в условных единицах» в формате шаблона  ENERGY.CALC.NVV.TSO листы "ФОТ норматив"  (Приложение №1 в приложении к заключению)</t>
  </si>
  <si>
    <t>Организацией представлен в регулирующий орган расчёт согласно таблице П.1.16 Методических указаний по расчёту регулируемых тарифов и цен на электрическую энергию утверждённых приказом ФСТ России от 06.08.2004 №20-э/2 исходя из рассчитанного количества ППП в формате шаблона  ENERGY.CALC.NVV.TSO лист "Персонал" (Приложение №2 в приложении к заключению)"</t>
  </si>
  <si>
    <t>численность в количестве</t>
  </si>
  <si>
    <t>размер заработной платы, тыс. руб.</t>
  </si>
  <si>
    <t>Статья «Ремонт основных средств»</t>
  </si>
  <si>
    <t>1. Расчет расходов на материалы для выполнения ремонтных работ в электрических сетях в соответвии с__________</t>
  </si>
  <si>
    <t>2. Ремонтная программа (акты обследования, выписки из журналов, графики ремонтов, письма о ранее проведенных ремонтах, прайсы, сметы, дефектные ведомости, фото)</t>
  </si>
  <si>
    <t>3. Документы подтверждающие проведение конкурентной закупки</t>
  </si>
  <si>
    <t>Статья «Оплата работ и услуг сторонних организаций»</t>
  </si>
  <si>
    <t>В соответствии с требованиями п.29. Основ ценообразования при определении фактических значений расходов (цен) регулирующий орган использует (в порядке очерёдности, если какой-либо из видов цен не может быть применён по причине отсутствия информации о таких ценах):</t>
  </si>
  <si>
    <t xml:space="preserve">  - установленные на очередной период регулирования цены (тарифы) в случае, если цены (тарифы) на соответствующие товары (услуги) подлежат государственному регулированию;_x000D_
 - расходы (цены), установленные в договорах, заключённых в результате проведения торгов;_x000D_
  - рыночные цены, сложившиеся на организованных торговых площадках, в том числе биржах, функционирующих на территории Российской Федерации;_x000D_
  - рыночные цены, предоставляемые организациями, осуществляющими сбор информации о рыночных ценах, разработку и внедрение специализированных программных средств для исследования рыночных цен, подготовку периодических информационных и аналитических отчётов о рыночных ценах.</t>
  </si>
  <si>
    <t>При отсутствии указанных данных расчётные значения расходов определяются с использованием официальной статистической информации._x000D_
В соответствии с Положением о закупках организации цена договора с поставщиками сформирована в результате проведения конкурентных закупок. За исключением случаев, указанных в Положении о закупках организации.</t>
  </si>
  <si>
    <t>Расшифровка затрат по данной статье, реестр договоров, оборотно-сальдовые ведомости по счетам 10, 20, 25,26, копии договоров о выполнении работ (услуг), копии коммерческих предложений, счетов, представлены в материалах тарифного дела в электроннном виде (шаблон формата ФГИС ЕИАС листы ППР, а так же сканы обосновывающей документации) .</t>
  </si>
  <si>
    <t>Обоснование</t>
  </si>
  <si>
    <t>абс.</t>
  </si>
  <si>
    <t>расходы на услуги вневедомственной охраны и пожарную безопасность</t>
  </si>
  <si>
    <t xml:space="preserve">В соответствии с пунктом 7 постановления Правительства РФ от 29.12.2011 №1178 при установлении регулируемых цен (тарифов) регулирующие органы принимают меры, направленные на исключение из расчетов экономически необоснованных расходов организаций, осуществляющих регулируемую деятельность. </t>
  </si>
  <si>
    <t>Статья "Расходы на командировки и представительские"</t>
  </si>
  <si>
    <t>Статья "Расходы на повышение квалификации,  подготовку кадров"</t>
  </si>
  <si>
    <t>Статья "Расходы на обеспечение нормальных условий труда и мер по технике безопасности"</t>
  </si>
  <si>
    <t>Расшифровка затрат по данной статье, реестр договоров, оборотно-сальдовые ведомости по счетам 10, 20, 25,26, копии договоров о выполнении работ (услуг), копии коммерческих предложений, счетов, представлены в материалах тарифного дела в электроннном виде (шаблон формата ФГИС ЕИАС листы ППР, а так же сканы обосновывающей документации).</t>
  </si>
  <si>
    <t>Статья "Расходы на страхование"</t>
  </si>
  <si>
    <t>Статья "Теплоэнергия"</t>
  </si>
  <si>
    <t>Расшифровка затрат по данной статье, реестр договоров, оборотно-сальдовые ведомости по счетам 10, 20, 25,26, копии договоров о выполнении работ (услуг), копии коммерческих предложений, счетов, представлены в материалах тарифного дела в электроннном виде (шаблон формата ФГИС ЕИАС листы ТЭ, а так же сканы обосновывающей документации).</t>
  </si>
  <si>
    <t>Статья "Энергия на хоз. нужды"</t>
  </si>
  <si>
    <t>Статья "Другие прочие расходы"</t>
  </si>
  <si>
    <t>Статья «Подконтрольные расходы из прибыли»</t>
  </si>
  <si>
    <t xml:space="preserve">  - оборотно-сальдовые ведомости по счету 91 «Прочие доходы и расходы»;</t>
  </si>
  <si>
    <t xml:space="preserve">  - копия коллективного договора.</t>
  </si>
  <si>
    <t>Индекс эффективности операционных расходов и эффективный уровень подконтрольных расходов по методу сравнения аналогов</t>
  </si>
  <si>
    <t xml:space="preserve">Расчёт индекса эффективности операционных (подконтрольных) расходов и величины базового уровня операционных (подконтрольных) расходов с применением метода сравнения аналогов осуществляется на основании распределения ТСО по группам эффективности по итогам расчёта рейтинга эффективности ТСО, с учётом: </t>
  </si>
  <si>
    <t>1) уровня цен и климатических условий в регионе, в котором осуществляется деятельность ТСО;_x000D_
2) натуральных показателей ТСО (протяжённость сетей, трансформаторная ёмкость подстанций, максимальное фактическое за отчётный период регулирования количество точек поставки электрической энергии потребителем услуг, присоединённым к ТСО).</t>
  </si>
  <si>
    <t>Расчёт рейтинга эффективности произведён с использованием нормализованных удельных показателей. Для определения базового уровня подконтрольных расходов коэффициенты нормализации рассчитаны в соответствии с приложением № 7 к Методическим указаниям № 421-э на основании всего массива данных о показателях ТСО, представленных по форме приложения № 1 к Методическим указаниям № 421-э .</t>
  </si>
  <si>
    <t>3. Коэффициент эластичности подконтрольных расходов по количеству активов - 0,75 (в соответствии с п. 11 Методических указаний от 17.02.2012г. № 98-э);</t>
  </si>
  <si>
    <t>3.2. Расчёт неподконтрольных расходов</t>
  </si>
  <si>
    <t>Неподконтрольные расходы для базового и i-го года долгосрочного периода регулирования определяются методом экономически обоснованных затрат на основании п.11 Методических указаний № 98-э.</t>
  </si>
  <si>
    <t>Статья «Оплата услуг ПАО «ФСК ЕЭС».</t>
  </si>
  <si>
    <t>Единицы измерения</t>
  </si>
  <si>
    <t>Плата ФСК</t>
  </si>
  <si>
    <t>Содержание сетей ФСК</t>
  </si>
  <si>
    <t>Заявленная мощность к сетям ФСК</t>
  </si>
  <si>
    <t>Тариф на содержание сетей ФСК</t>
  </si>
  <si>
    <t>руб.Мвт в месяц</t>
  </si>
  <si>
    <t>Стоимость потерь в сетях ФСК</t>
  </si>
  <si>
    <t>объем потерь в сетях ФСК</t>
  </si>
  <si>
    <t>МВтч</t>
  </si>
  <si>
    <t>отпуск из сети ФСК</t>
  </si>
  <si>
    <t>норматив технологич.потерь ээ</t>
  </si>
  <si>
    <t>тариф покупки потерь</t>
  </si>
  <si>
    <t>Статья “Аренда”</t>
  </si>
  <si>
    <t xml:space="preserve">В соответствии с пп. 5 п. 28 Основ ценообразования расходы на аренду определяются регулирующим органом исходя из величины амортизации и необходимых налогов, и прочих обязательных платежей, относящихся к арендуемому имуществу. </t>
  </si>
  <si>
    <t>В качестве обоснований предприятием представлена расшифровка расходов на аренду, а также копии договоров аренды (электросетевого хозяйства, нежилых помещений, автотранспорта), копии актов приема-передачи имущества, оборотно-сальдовая ведомость по сч.60, бухгалтерские документы, выписки из протоколов заседаний правлений СНТ, инвентарные карточки учета основных средств ф.ОС-6</t>
  </si>
  <si>
    <t>При этом по заключенным договорам</t>
  </si>
  <si>
    <t>Статья “Лизинг”</t>
  </si>
  <si>
    <t>В качестве обоснований предприятием представлена расшифровка расходов на лизинг, а также копии договоров, копии актов приема-передачи имущества, оборотно-сальдовая ведомость, бухгалтерские документы.</t>
  </si>
  <si>
    <t>Статья «Налоги»</t>
  </si>
  <si>
    <t xml:space="preserve">оборотно-сальдовая ведомость по сч.68 на сумму </t>
  </si>
  <si>
    <t>Статья “Отчисления на социальные нужды”</t>
  </si>
  <si>
    <t xml:space="preserve">В соответствии с ст.425 Налогового Кодекса РФ (часть вторая глава 34) экспертами произведён расчёт страховых взносов на обязательное пенсионное страхование, на обязательное социальное страхование, на обязательное медицинское страхование» в размере 30% к сумме выплат и иных вознаграждений, начисленных плательщиками страховых взносов за расчётный период в пользу физических лиц. </t>
  </si>
  <si>
    <t>класс профессионального риска</t>
  </si>
  <si>
    <t xml:space="preserve">что соответствует страховому тарифу в размере </t>
  </si>
  <si>
    <t>к суммам выплат и иных вознаграждений, которые начислены в пользу застрахованных в рамках трудовых</t>
  </si>
  <si>
    <t>отношений и гражданско-правовых договоров (копия уведомления ФСС РФ о размере страховых взносов на обязательное социальное страхование от несчастных случаев на производстве и профессиональных заболеваний прилагается).</t>
  </si>
  <si>
    <t>Статья "Прибыль на капитальные вложения"</t>
  </si>
  <si>
    <t>Заявленные расходов соответствуют инвестиционной программе организации на период ________</t>
  </si>
  <si>
    <t xml:space="preserve">Инвестиционная программа утерждена ________________ </t>
  </si>
  <si>
    <t>Статья “ Налог на прибыль”</t>
  </si>
  <si>
    <t xml:space="preserve">В соответствии с п. 20 Основ ценообразования в необходимую валовую выручку включается величина налога на прибыль организаций по регулируемому виду деятельности, сформированная по данным бухгалтерского учёта за последний истекший период. </t>
  </si>
  <si>
    <t>Статья "Возврат заемных стредств"</t>
  </si>
  <si>
    <t xml:space="preserve">Заявление расходы подтверждены _____ </t>
  </si>
  <si>
    <t xml:space="preserve">  - установленные на очередной период регулирования цены (тарифы) в случае, если цены (тарифы) на соответствующие товары (услуги) подлежат государственному регулированию;_x000D_
- расходы (цены), установленные в договорах, заключённых в результате проведения торгов;_x000D_
- рыночные цены, сложившиеся на организованных торговых площадках, в том числе биржах, функционирующих на территории Российской Федерации;_x000D_
- рыночные цены, предоставляемые организациями, осуществляющими сбор информации о рыночных ценах, разработку и внедрение специализированных программных средств для исследования рыночных цен, подготовку периодических информационных и аналитических отчётов о рыночных ценах.</t>
  </si>
  <si>
    <t>Расшифровка затрат по данной статье, реестр договоров, оборотно-сальдовые ведомости по счетам 10, 20, 25,26, копии договоров о выполнении работ (услуг), копии коммерческих предложений, счетов, представлены в материалах тарифного дела в электроннном виде (шаблон формата ФГИС ЕИАС листы ТЭ, а так же сканы обосновывающей документации) .</t>
  </si>
  <si>
    <t>Статья «Амортизация основных средств»</t>
  </si>
  <si>
    <t>В соответствии с п.27 Основ ценообразования, расчёт амортизации основных фондов и нематериальных активов для расчета регулируемых цен (тарифов) определяется в соответствии с нормативными правовыми актами, регулирующими отношения в сфере бухгалтерского учета. При расчете экономически обоснованного размера амортизации на плановый период регулирования срок полезного использования активов и отнесение этих активов к соответствующей амортизационной группе определяется регулирующими органами в соответствии с максимальными сроками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t>
  </si>
  <si>
    <t>Статья "Расходы на формирование резерва по сомнительным долгам"</t>
  </si>
  <si>
    <t>Статья "Компенсация выпадающих доходов по технологическому присоединению (п. 87 Основ ценообразования)"</t>
  </si>
  <si>
    <t>Статья "Прочие неподконтрольные расходы"</t>
  </si>
  <si>
    <t>Расшифровка затрат по данной статье, реестр договоров, оборотно-сальдовые ведомости , копии договоров о выполнении работ (услуг), копии коммерческих предложений, счетов, представлены в материалах тарифного дела в электроннном виде (шаблон формата ФГИС ЕИАС листы Прочие НПР, а так же сканы обосновывающей документации) .</t>
  </si>
  <si>
    <t>Статья "Расходы на выполнение предусмотренных пунктом 5 статьи 37 Федерального закона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 вложениям"</t>
  </si>
  <si>
    <t>Статья "Экономия расходов на оплату потерь электрической энергии (п. 34(1)-34(3) Основ ценообразования) "</t>
  </si>
  <si>
    <t>Статья "Расчетная предпринимательская прибыль"</t>
  </si>
  <si>
    <t>3.3. Расходы, связанные с компенсацией незапланированных расходов или полученного избытка</t>
  </si>
  <si>
    <t>3.4. Расчёт корректировок необходимой валовой выручки на основе фактических данных</t>
  </si>
  <si>
    <t>В соответствии с п. 10 Методических указаний № 98-э результаты деятельности регулируемой организации учитываются при определении ежегодной корректировки необходимой валовой выручки в порядке, определённом теми же Методическими указаниями.</t>
  </si>
  <si>
    <t>Эксперты рассмотрели представленные материалы и произвели расчёт всех корректировок, определённых Методическими указаниями № 98-э. _x000D_
В соответствии с п. 11 Методических указаний № 98-э расходы i-го года долгосрочного периода регулирования, связанные с компенсацией незапланированных расходов (со знаком "плюс") или полученного избытка (со знаком "минус"), выявленных в том числе по итогам последнего истекшего года долгосрочного периода регулирования, за который известны фактические значения параметров расчёта тарифов, связанных с необходимостью корректировки валовой выручки регулируемых организаций, указанной в пункте 9, а так-же расходы в соответствии с пунктом 10 Методических указаний № 98-э и корректировка необходимой валовой выручки в соответствии с пунктом 32 Основ ценообразования…</t>
  </si>
  <si>
    <t>1) корректировка подконтрольных расходов в связи с изменением планируемых параметров расчёта тарифов. _x000D_
В соответствии с п. 11 Методических указаний № 98-э расходы i-го года долгосрочного периода регулирования, связанные с компенсацией незапланированных расходов (со знаком "плюс") или полученного избытка (со знаком "минус"), выявленных в том числе по итогам последнего истекшего года долгосрочного периода регулирования, за который известны фактические значения параметров расчёта тарифов, связанных с необходимостью корректировки валовой выручки регулируемых организаций, указанной в пункте 9, а так-же расходы в соответствии с пунктом 10 Методических указаний № 98-э и корректировка необходимой валовой выручки в соответствии с пунктом 32 Основ ценообразования…</t>
  </si>
  <si>
    <t>Вᵢинд = ∆ПPᵢ + ∆НРᵢ + ∆Уᵢ + ∆НВВᵢсод + ПОᵢ, где</t>
  </si>
  <si>
    <t>∆Пpᵢ</t>
  </si>
  <si>
    <t>- корректировка подконтрольных расходов в связи с изменением планируемых параметров расчёта тарифов. Не определяется для случаев, если год (i-2) яв-ляется первым годом долгосрочного периода регулирования;</t>
  </si>
  <si>
    <t>`</t>
  </si>
  <si>
    <t>∆ПР - корректировка подконтрольных</t>
  </si>
  <si>
    <t>Индекс эффективности</t>
  </si>
  <si>
    <t>1.1.4</t>
  </si>
  <si>
    <t>1.1.5</t>
  </si>
  <si>
    <t>1.1.6</t>
  </si>
  <si>
    <t>Коэффициент эластичности</t>
  </si>
  <si>
    <t>1.1.7</t>
  </si>
  <si>
    <t>1.1.8</t>
  </si>
  <si>
    <t>1.1.9</t>
  </si>
  <si>
    <t>1.1.10</t>
  </si>
  <si>
    <t>1.1.11</t>
  </si>
  <si>
    <t>1.1.12</t>
  </si>
  <si>
    <t xml:space="preserve">2) корректировка неподконтрольных расходов исходя из фактических значений указанного параметра. </t>
  </si>
  <si>
    <t>∆НРᵢ</t>
  </si>
  <si>
    <t>- корректировка неподконтрольных расходов исходя из фактических значений указанного параметра;</t>
  </si>
  <si>
    <t>для расчёта корректировки неподконтрольных расходов принимаются фактическая и плановая величина неподконтрольных расходов (за исключением расходов на финансирование капитальных вложений).</t>
  </si>
  <si>
    <t>Лизинг (без учета лизинга по ИПР)</t>
  </si>
  <si>
    <t>Налог на прибыль (без учета налога на кап. вложения)</t>
  </si>
  <si>
    <t>Коммунальные услуги</t>
  </si>
  <si>
    <t>3) корректировка необходимой валовой выручки по доходам от осуществления регулируемой деятельности</t>
  </si>
  <si>
    <t>∆НВВᵢ</t>
  </si>
  <si>
    <t>корректировка необходимой валовой выручки по доходам от осуществления регулируемой деятельности</t>
  </si>
  <si>
    <t>корректировка рассчитана как необходимая валовая выручка на содержание электрических сетей и на оплату технологического расхода (потерь) электрической энергии, установленная на год i-2 минус фактический объем выручки за услуги по передаче электрической энергии за год i-2 (с учетом фактически недополученной выручки по зависящим от сетевой организации причинам), определяемый исходя из установленных на год i-2 тарифов на услуги по передаче электрической энергии и фактических объемов оказанных услуг</t>
  </si>
  <si>
    <t>∆НВВᵢ = НВВᵢ₋₂ - НВВᵢ₋₂ф</t>
  </si>
  <si>
    <t>∆НВВ - Корректировка НВВ по доходам от осуществления регулируемой деятельности</t>
  </si>
  <si>
    <t xml:space="preserve">тыс. руб. </t>
  </si>
  <si>
    <t>4) корректировка необходимой валовой выручки регулируемой организации с учётом изменения полезного отпуска и цен на электрическую энергию</t>
  </si>
  <si>
    <t>Плановый и фактический объем выручки за услуги по передаче электрической энергии в части содержания электрических сетей определён экспертами исходя из установленных тарифов на услуги по передаче электрической энергии без учёта ставки, используемой для целей определения расходов на оплату нормативных потерь электрической энергии при её передаче по электрическим сетям, и плановых фактических объёмов оказанных услуг соответственно</t>
  </si>
  <si>
    <t>Поi - корректировка необходимой валовой выручки регулируемой организации с учётом изменения полезного отпуска и цен на электрическую энергию.</t>
  </si>
  <si>
    <t>ПО - корректировка с учетом изменения ПО и цен на э/э</t>
  </si>
  <si>
    <t>руб/МВтч</t>
  </si>
  <si>
    <t xml:space="preserve">Максимальное значение уровня потерь э/э из значения уровня потерь э/э, являющихся ДПР определенным в соответствии с р. 40(1), для долгосрочного периода регулирования, к которому относится 2019 год  и следующих за ними долгосрочных периодов регулирования, но не ранее долгосрочного периода регулирования, к которому относится год, предшествующий на 10  лет, году  i, за который определяется экономия </t>
  </si>
  <si>
    <t>5) корректировка фактических расходов, признанных регулирующим органом экономически обоснованными в году i-2, на выполнение, предусмотренных пунктом 5 статьи 37 Федерального закона от 26 марта 2003 г. N 35-ФЗ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 вложениям, определяемая до завершения долгосрочного периода регулирования, на который базовый уровень подконтрольных расходов устанавливался до вступления в силу постановления Правительства Российской Федерации от 7 марта 2020 г. N 246 "О внесении изменений в некоторые акты Правительства Российской Федерации по вопросу установления регулируемых цен (тарифов) в электроэнергетике и признании утратившими силу отдельных положений некоторых актов Правительства Российской Федерации", которая может принимать как положительные, так и отрицательные значения, рассчитываемая по следующей формуле</t>
  </si>
  <si>
    <t>∆Уᵢ = ∆Уᵢ₋₂факт-∆Уᵢ₋₂</t>
  </si>
  <si>
    <t>где,</t>
  </si>
  <si>
    <t>Уᵢ₋₂, Уᵢ₋₂ факт</t>
  </si>
  <si>
    <t>плановые и фактические расходы, признанные регулирующим органом экономически обоснованными в году i-2, на выполнение, предусмотренных пунктом 5 статьи 37 Федерального закона</t>
  </si>
  <si>
    <t>от 26.03.2003 N 35-ФЗ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 вложениям</t>
  </si>
  <si>
    <t xml:space="preserve">6) корректировка необходимой валовой выручки, осуществляемая в связи с изменением (неисполнением) инвестиционной программы </t>
  </si>
  <si>
    <t>Выполнение инвестиционной программы (B корр.ИП)</t>
  </si>
  <si>
    <t>Корректировка необходимой валовой выручки с учётом показателей надёжности и качества оказываемых услуг производится исходя из утверждённой НВВ и понижающего (повышающего) коэффициента.</t>
  </si>
  <si>
    <t>Величина корректировки необходимой валовой выручки с учётом надёжности и ?качества услуг, производимой на основании фактических данных за 2020 год, определяется с учётом понижающего (повышающего) коэффициента, корректирующего необходимую валовую выручку электросетевой организации с учётом надёжности и качества производимых (реализуемых) товаров (услуг) в 2020 году, определяемого в процентах в соответствии с Методическими указаниями по расчёту и применению понижающих (повышающих) коэффициентов, позволяющих обеспечить соответствие уровня тарифов, установленных для организаций,  осуществляющих регулируемую деятельность, уровню надёжности и качества поставляемых товаров и оказываемых услуг, утверждёнными приказом ФСТ России от 26.10.2010 № 254-э/1.</t>
  </si>
  <si>
    <t>Анализ показателей надёжности и качества проведён экспертами с применением Методических указаний по расчёту уровня надёжности и качества поставляемых товаров и оказываемых услуг для организации по управлению единой национальной (общероссийской) электрической сетью и территориальных сетевых организаций, утверждёнными приказом Минэнерго России от 14.10.2013 № 718, в соответствии с которыми были установлены плановые показатели</t>
  </si>
  <si>
    <t>Обобщённый показатель надёжности и качества оказываемых услуг в 2020 году, используемый при осуществлении корректировки цен (тарифов), установленных на долгосрочный период регулирования, связанный с отклонением фактических значений показателей надёжности и качества оказываемых услуг от плановых (далее - обобщённый показатель), который в 2018 году определялся в соответствии с Методическими указаниями № 718.</t>
  </si>
  <si>
    <t>Согласно п. 5.1 Методических указаний № 718 обобщённый показатель рассчитывается на основании сопоставления фактических значений показателей надёжности и качества услуг с их плановыми значениями и учитывает результаты достижения плановых значений показателей с учётом соответствующих коэффициентов значимости для данной электросетевой организации.</t>
  </si>
  <si>
    <t>Значение обобщённого показателя уровня надёжности и качества оказываемых услуг рассчитывается по формуле:</t>
  </si>
  <si>
    <t xml:space="preserve"> где,   и   - коэффициенты значимости показателей надёжности и качества оказываемых услуг ( = 0,65,   = 0,25 и   = 0,1).</t>
  </si>
  <si>
    <t>Если плановое значение   достигнуто, то   = 0; не достигнуто -   = -1; достигнуто со значительным улучшением -   = 1.</t>
  </si>
  <si>
    <t>Итого экспертами были рассчитаны корректировки, которые представлены в нижеследующей таблице:</t>
  </si>
  <si>
    <t>5.1.1</t>
  </si>
  <si>
    <t>5.1.2</t>
  </si>
  <si>
    <t>5.1.3</t>
  </si>
  <si>
    <t>5.1.4</t>
  </si>
  <si>
    <t>5.1.5</t>
  </si>
  <si>
    <t>5.1.6</t>
  </si>
  <si>
    <t>5.1.7</t>
  </si>
  <si>
    <r>
      <t>3.5. Расчёт расходов на покупную электроэнергию для компенсации потерь</t>
    </r>
    <r>
      <rPr>
        <sz val="9"/>
        <rFont val="Times New Roman"/>
        <family val="1"/>
        <charset val="204"/>
      </rPr>
      <t xml:space="preserve"> </t>
    </r>
  </si>
  <si>
    <t>Потери на 2024 год рассчитаны в соответствии с п. 40 (1) Основ ценообразования… и приказом Минэнерго России от 26.09.2017 № 887 Об утверждении нормативов потерь электрической энергии при ее передаче по электрическим сетям территориальных сетевых организаций, и составляют ______ млн. кВтч или ______% от поступления в сеть. Объём потерь соответствует сводному прогнозному балансу</t>
  </si>
  <si>
    <t>Тариф покупки определён на основании прогнозных рыночных цен на электрическую энергию (мощность), продаваемую на оптовом рынке, определяемых по субъектам Российской Федерации с учётом официально опубликованных на официальном сайте Ассоциации НП «Совет рынка» (по состоянию на 28.11.2022) данных о прогнозных свободных (нерегулируемых) ценах на электрическую энергию, цен на электрическую энергию (мощность), по субъектам Российской Федерации на 2024 год, и информации об основных макроэкономических показателях прогноза социально-экономического развития Российской Федерации, одобренного Правительством Российской Федерации на расчётный период регулирования; с учётом сбытовой надбавки и величины платы за услуги, оказание которых неразрывно связано с процессом снабжения потребителей электрической энергией и цены (тарифы) на которые подлежат государственному регулированию в размере ____./МВтч. (с учетом НДС)</t>
  </si>
  <si>
    <t>В соответствии с п. 81 Основ ценообразования… стоимость потерь электрической энергии при её передаче по электрическим сетям, включаемых в тарифы на услуги по передаче электрической энергии по электрическим сетям, принадлежащим на праве собственности или ином законном основании территориальным сетевым организациям, определена в следующих размерах:</t>
  </si>
  <si>
    <t>Заключение:</t>
  </si>
  <si>
    <t>Расчёт необходимой валовой выручки и формы представления предложений соответствуют нормативно-методическим документам по вопросам регулирования тарифов и (или) их предельных уровней.</t>
  </si>
  <si>
    <t xml:space="preserve">НВВ всего </t>
  </si>
  <si>
    <t>Необоснованные доходы (расходы)</t>
  </si>
  <si>
    <t>Затраты на электроэнергию, приобретаемую в целях компенсации потерь</t>
  </si>
  <si>
    <t>НВВ на содержание</t>
  </si>
  <si>
    <t>Индивидуальный тариф</t>
  </si>
  <si>
    <t>Одноставочный, руб./кВт*ч</t>
  </si>
  <si>
    <t>Двуставочный</t>
  </si>
  <si>
    <t>Ставка на содержание, тыс.руб./МВт*мес</t>
  </si>
  <si>
    <t>Ставка на потери, тыс.руб./МВт*ч</t>
  </si>
  <si>
    <t>Эксперты:</t>
  </si>
  <si>
    <t>Долгосрочные параметры регулирования методом долгосрочной индексации утверждены приказом:</t>
  </si>
  <si>
    <t>Члены экспертной группы:</t>
  </si>
  <si>
    <t xml:space="preserve">        Согласно п. 9 Методических указаний 98-э в течение долгосрочного периода регулирования регулирующими органами ежегодно производится корректировка необходимой валовой выручки, устанавливаемой на очередной расчетный период регулирования. По решению регулирующего органа такая корректировка производится с учетом отклонения фактических значений параметров расчета тарифов по итогам истекшего периода текущего года долгосрочного регулирования, за который известны фактические значения параметров расчета тарифов, от планировавшихся значений параметров расчета тарифов, а также изменение плановых значений показателей на следующие периоды.</t>
  </si>
  <si>
    <t xml:space="preserve">       В соответствии с пунктом 5 Методических указаний 98-э, тарифы на услуги по передаче электрической энергии устанавливаются на долгосрочный период регулирования, отдельно на каждый финансовый год в течение этого периода. В течение долгосрочного периода регулирования ежегодно тарифы, установленные на очередной финансовый год, корректируются.</t>
  </si>
  <si>
    <t>3. Документы, подтверждающие регулируемую деятельность, документы, подтверждающие право собственности или иные законные основания владения в отношении объектов, используемых для осуществления деятельности;</t>
  </si>
  <si>
    <t>5. Oтчётность, содержащая данные раздельного учёта по формам, утверждённым приказом Минэнерго России от 13.12.2011 № 585</t>
  </si>
  <si>
    <t>11. Иные материалы, необходимые для проведения расчётов и принятия решений.</t>
  </si>
  <si>
    <t>Коэффициент финансовой устойчивости не поднялся выше 0,75. Это может свидетельствовать о возможности возникновении риска хронической неплатежеспособности организации, а также ее попадания в финансовую зависимость от кредиторов. Чем меньше значение коэффициента, тем в большей степени организация зависима от заемных источников финансирование, тем менее устойчивое у нее финансовое положение</t>
  </si>
  <si>
    <t>Раздел II. Плановые показатели параметров расчета тарифов.</t>
  </si>
  <si>
    <t xml:space="preserve">             Согласно пункту 7 Методических указаний 98-э на долгосрочный период регулирования определены следующие планируемые значения параметров расчета тарифов:_x000D_
1) индекс потребительских цен, определенный в соответствии с прогнозом социально-экономического развития Российской Федерации;_x000D_
2) размер активов, определяемый регулирующими органами;_x000D_
3) величина неподконтрольных расходов;_x000D_
4) величина мощности, в пределах которой сетевая организация принимает на себя обязательства обеспечить передачу электрической энергии потребителям услуг;_x000D_
5) величина полезного отпуска электрической энергии потребителям услуг территориальной сетевой организации;_x000D_
6) цена (тариф) покупки потерь электрической энергии, учитываемая при установлении тарифа на услуги по передаче электрической энергии.</t>
  </si>
  <si>
    <t>1.	Индекс потребительских цен.</t>
  </si>
  <si>
    <t>2.	Размер активов.</t>
  </si>
  <si>
    <t>3.	Величина неподконтрольных расходов.</t>
  </si>
  <si>
    <t>Величина неподконтрольных расходов определена в соответствии подразделом B раздела III.</t>
  </si>
  <si>
    <t>4.	Величина мощности, в пределах которой сетевая организация принимает на себя обязательства обеспечить передачу электрической энергии потребителям услуг</t>
  </si>
  <si>
    <t>среднее первое напряжение (СН1) - 35 кВ</t>
  </si>
  <si>
    <t>Утверж- дено</t>
  </si>
  <si>
    <t>5. Цена (тариф) покупки потерь электрической энергии, учитываемая при установлении тарифа на услуги по передаче электрической энергии.</t>
  </si>
  <si>
    <t>Раздел III. Расчет необходимой валовой выручки на содержание электрических сетей</t>
  </si>
  <si>
    <t>Расчет расходов в соответствии с формулами</t>
  </si>
  <si>
    <t>Необходимая валовая выручка на содержание электрических сетей (HBBiсод) определяется в соответствии с формулой № 2 Методических указаний 98-э исходя из суммы следующих показателей:НВВiсод = ПРi + НРi + Вi + Уi + d x ∆ЭПi + НВВi-2 сод х КНКi</t>
  </si>
  <si>
    <t>3.1 Расчёт подконтрольных расходов</t>
  </si>
  <si>
    <t>Подконтрольные расходы определены по формуле:</t>
  </si>
  <si>
    <t>ПРi = ПР1х ∏ Kинд j</t>
  </si>
  <si>
    <t>где,  ПР1 - уровень подконтрольных расходов на первый (базовый) год долгосрочного периода регулирования (базовый уровень подконтрольных расходов). В случае пересмотра базового уровня подконтрольных расходов по основаниям, установленным в абзаце тринадцатом пункта 7, абзаце двадцатом пункта 12 Основ ценообразования, пункте 8 Правил регулирования, а также на основании поручений, содержащихся в актах Президента Российской Федерации, поручений и указаний Президента Российской Федерации, поручений, содержащихся в актах Правительства Российской Федерации и (или) протоколах заседаний Правительства Российской Федерации, поручений Председателя Правительства Российской Федерации, в качестве ПР 1 принимается базовый уровень подконтрольных расходов с учетом его пересмотра</t>
  </si>
  <si>
    <t>Kинд j - коэффициент индексации начиная с года, следующего за годом установления (пересмотра) базового уровня подконтрольных расходов;</t>
  </si>
  <si>
    <t>Базового уровнь подконтрольных расходов</t>
  </si>
  <si>
    <t xml:space="preserve">  - установленные на очередной период регулирования цены (тарифы) в случае, если цены (тарифы) на соответствующие товары (услуги) подлежат государственному регулированию;_x000D_
- расходы (цены), установленные в договорах, заключённых в результате проведения торгов;_x000D_
- рыночные цены, сложившиеся на организованных торговых площадках, в том числе биржах, функционирующих на территории Российской Федерации;_x000D_
- рыночные цены, предоставляемые организациями, осуществляющими сбор информации о рыночных ценах, разработку и внедрение специализированных программных средств для исследования рыночных цен, подготовку периодических информационных и аналитических отчётов о рыночных ценах._x000D_
</t>
  </si>
  <si>
    <t>Внимание! Это демонстрационная версия экспертного заключения! Для формирования экспертного заключения нажмите на кнопку слева</t>
  </si>
  <si>
    <t>Экспертное заключение об установлении тарифов на услуги по передаче электрической энергии по сетям  на 2022 год в рамках долгосрочного периода регулирования (2020-2024 г.г.)</t>
  </si>
  <si>
    <t xml:space="preserve">Экспертиза выполнена на основании материалов, представленных_x000D_
на утверждение в </t>
  </si>
  <si>
    <t xml:space="preserve"> / </t>
  </si>
  <si>
    <t>Сущность государственного регулирования тарифов состоит в установ-лении экономически обоснованных тарифов на электрическую энергию. При рассмотрении представленных материалов, эксперты руководствовались основными принципами государственного регулирования тарифов, предусмот-ренными действующим законодательством.</t>
  </si>
  <si>
    <t xml:space="preserve">12. Приказ ФАС России от 19.06.2018 № 834/18 "Регламентом установления цен (тарифов) и (или) их предельных уровней, предусматривающий порядок регистрации, принятия к рассмотрению и выда-чи отказов в рассмотрении заявлений об установлении цен (тарифов) и (или) их предельных уровней"_x000D_
_x000D_
</t>
  </si>
  <si>
    <t xml:space="preserve">13. Положение о </t>
  </si>
  <si>
    <t>14. Приказ ФАС России «О внесении изменений в сводный прогнозный баланс производства и поставок электрической энергии (мощности) в рамках Единой энергетической системы России по субъектам российской федерации на 2022 год»</t>
  </si>
  <si>
    <t xml:space="preserve">Утвержденный тариф на потери электрической энергии с учетом сбытовой надбавки гарантирующего поставщика </t>
  </si>
  <si>
    <t>21.02.2011 № 97, из сотрудников департамента была сформирована экспертная группа по определению на 2022 год необходимой валовой выручки на услуги по передаче электрической энергии (далее – эксперты).</t>
  </si>
  <si>
    <t>1. Предметом экспертизы являются обосновывающие и расчетные материалы  , определяющие тариф на передачу электрической энергии на  2022 год, соответствия их действующей нормативноправовой базе по государственному регулированию тарифов</t>
  </si>
  <si>
    <t>2. Целью настоящей экспертизы является определение экономически обос-нованного тарифа на передачу электрической энергии по сетям  , на территории  на  2022 год</t>
  </si>
  <si>
    <t>В соответствии с Положениями Основ ценообразования и Техническим заданием на проведение экспертизы, проведен расчёт необходимой валовой выручки и определение ее экономической обоснованности._x000D_
В соответствии с пунктом 7 постановления Правительства РФ от 29.12.2011 №1178 при установлении регулируемых цен (тарифов) регулирую-щие органы принимают меры, направленные на исключение из расчетов эко-номически необоснованных расходов организаций, осуществляющих регули-руемую деятельность. К экономически необоснованным расходам организа-ций, осуществляющих регулируемую деятельность, относятся в том числе вы-явленные на основании данных статистической и бухгалтерской отчетности за год и иных материалов.</t>
  </si>
  <si>
    <t>29.12.2011 (далее – Основы ценооб-разования), в отношении , осуществляющему регулируемую дея-тельность оказания услуг по передаче электрической энергии,</t>
  </si>
  <si>
    <t>регулирующим органом выбран метод долгосрочной индексации необходимой валовой выручки. Долгосрочный период регулирования установлен на срок 5 лет (2020-2024 годы).</t>
  </si>
  <si>
    <t>При проведении экспертизы экономически обоснованных тарифов на пе-редачу электрической энергии по сетям  на 2022 год использова-лись следующие методы:</t>
  </si>
  <si>
    <t xml:space="preserve">•	оценка финансового состояния и производственных показателей </t>
  </si>
  <si>
    <t>•	экспертиза соответствия расчёта тарифа на передачу электрической энергии и формы представления расчётных документов утвержденным нор-мативно-методическим документам по расчёту тарифов;</t>
  </si>
  <si>
    <t>Письменное заявление, представленное  об определении необходимой валовой выручки соответствует требованиям Регламента.</t>
  </si>
  <si>
    <t>Предложение о размере цен (тарифов) и долгосрочных параметрах регу-лирования по   размещены на официальном сайте в порядке, установленном стандартами</t>
  </si>
  <si>
    <t>Экспертами рассматривались и принимались во внимание все представ-ленные документы, имеющие значение для составления доказательного и не-зависимого экспертного заключения. Эксперты исходили из того, что пред-ставленная информация является достоверной._x000D_
В соответствии с п. 22 Правил государственного регулирования (пере-смотра, применения) цен (тарифов) в электроэнергетике, утверждённых по-становлением Правительства РФ от 29.12.2011 № 1178, экспертные заключе-ния, которые могут предоставлять организации, осуществляющие регулируе-мую деятельность, потребители и (или) иные заинтересованные организации, не направлялись в регулирующий орган.</t>
  </si>
  <si>
    <t xml:space="preserve">Ответственность за достоверность представленных документов несёт  </t>
  </si>
  <si>
    <t>Проделанная в процессе экспертизы работа не означает проведения полной и всеобъемлющей проверки финансово-хозяйственной деятельности  и правильности формирования финансовых результатов за анализируемый период с целью выявления всех возможных нарушений норм действующего законодательства.</t>
  </si>
  <si>
    <t xml:space="preserve">1. расчёт долгосрочных тарифов на услуги по передаче электроэнергии и долгосрочной необходимой валовой выручки на 2020-2024  годы в формате шаблона ЕИАС, выполненные  в соответствии с приказом ФСТ Рос-сии от 17.02.2012 № 98-э; </t>
  </si>
  <si>
    <t>2. обосновывающие материалы, подтверждающие фактически произве-дённые расходы за  2020 год (с приложением подтверждающих документов);</t>
  </si>
  <si>
    <t>3. документы, подтверждающие регулируемую деятельность, документы, подтверждающие право собственности или иные законные основания владе-ния в отношении объектов, используемых для осуществления деятельности;</t>
  </si>
  <si>
    <t>4. Бухгалтерский баланс и статистическая отчетность по регулируемым видам деятельности за 2020 год (со всеми приложениями)</t>
  </si>
  <si>
    <t xml:space="preserve">10. Баланс электроэнергии и мощности по форме № П1.4. и П1.5. Методических указаний, выполненный в соответствии с разъяснениями ФСТ России от 18.02.2005 № СН-570/14, согласованный с </t>
  </si>
  <si>
    <t>11. иные материалы, необходимые для проведения расчётов и принятия реше-ний.</t>
  </si>
  <si>
    <t xml:space="preserve">На территории  реализована схема </t>
  </si>
  <si>
    <t>В соответствии с Правилами государственного регулирования и приме-нения тарифов на электрическую энергию, утверждёнными постановлением Правительства РФ от 29.12.2011 № 1178, экспертами проведён финансовый анализ и дана оценка финансового состояния организации, за отчётный период, за который имелась бухгалтерская и иная отчётность на момент принятия та-рифно-балансовых решений</t>
  </si>
  <si>
    <t xml:space="preserve"> является плательщиком налога:</t>
  </si>
  <si>
    <t>Для описания структуры баланса  выполнен анализ структуры имущества и источников его формирования по итогам деятельности компа-нии за 2020 год.</t>
  </si>
  <si>
    <t>По данным таблицы показателей раздельного учёта  за 2020 год предприятием получена чистая прибыль в размере (тыс.руб)</t>
  </si>
  <si>
    <t>Основ-ные показатели, влияющие на результат финансово-хозяйственной деятель-ности предприятия, следующие:</t>
  </si>
  <si>
    <t>выше суммы выручки на 0 тыс.руб. (0%)</t>
  </si>
  <si>
    <t xml:space="preserve">Прочие расходы предприятия по виду деятельности «Передача элек-троэнергии» составили </t>
  </si>
  <si>
    <t>В общем можно сделать вывод, что по виду деятельности «Передача электроэнергии», деятельность  в 2020 году являлась убыточной.</t>
  </si>
  <si>
    <t>Валюта баланса  на 31.12.2020  года составила</t>
  </si>
  <si>
    <t>Рост по сравнению с аналогичным периодом прошлого года составил</t>
  </si>
  <si>
    <t>2. Оборотные активы по состоянию на 31.12.2020 года составляют</t>
  </si>
  <si>
    <t xml:space="preserve"> Основные составляющие:_x000D_
</t>
  </si>
  <si>
    <t xml:space="preserve">В структуре пассивов  по состоянию на 31.12.2020 года </t>
  </si>
  <si>
    <t xml:space="preserve">коэффициент текущей ликвидности (общей ликвидности), показывает достаточность оборотных средств предприятия для покрытия своих кратко-срочных обязательств. Также характеризует запас финансовой прочности вследствие превышения оборотных активов над краткосрочными обязатель-ствами. </t>
  </si>
  <si>
    <t xml:space="preserve">займы (тыс. руб.)  _x000D_
</t>
  </si>
  <si>
    <t>Показатели финансового состояния  характеризуются следу-ющими данными:</t>
  </si>
  <si>
    <t>Коэффициент текущей ликвидности  в 2020 году равен</t>
  </si>
  <si>
    <t>ниже нормы</t>
  </si>
  <si>
    <t xml:space="preserve">коэффициент текущей ликвидности (общей ликвидности), показывает доста-точность оборотных средств предприятия для покрытия своих краткосрочных обязательств. Также характеризует запас финансовой прочности вследствие превышения оборотных активов над краткосрочными обязательствами. </t>
  </si>
  <si>
    <t>Это свидетельству-ет о трудностях в погашении организацией своих текущих обяза-тельств. Анализ результатов расчёта свидетельствует о невозможности  покрыть свои текущие обязательства оборотными активами</t>
  </si>
  <si>
    <t>Коэффициент финансовой автономии в 2020 году равен</t>
  </si>
  <si>
    <t xml:space="preserve">Уровень автономии - доля оборотных средств, обеспеченных собственными средствами организации. Характеризует финансовую устойчивость организа-ции (финансирование текущих операций за счет собственных средств), нор-мальным считается значение более 10%, пограничным – от 5 до 10%, критиче-ским – менее 5%. Коэффициент показывает, насколько организация незави-сима от кредиторов. </t>
  </si>
  <si>
    <t>Коэффициент коэффициент финансовой устойчивости 2020 году равен</t>
  </si>
  <si>
    <t>Коэффициент финансовой устойчивости не поднялся выше 0,75. Это может свидетельствовать о возможности возникновении риска хронической неплатежеспособности организации, а также ее попадания в финансовую зависи-мость от кредиторов. Чем меньше значение коэффициента, тем в большей степени организация зависима от заемных источников финансирование, тем менее устойчивое у нее финансовое положение</t>
  </si>
  <si>
    <t xml:space="preserve">Общая рентабельность 0 за 2019 год составила 0%. За 2018 год – 0%. </t>
  </si>
  <si>
    <t>Наблюдается снижение показателя. Нормальным считается любое положительное значение.</t>
  </si>
  <si>
    <t>Владение на праве собственности или на ином законном основании на срок не менее очередного расчетного периода регулирования силовыми трансформаторами, используемыми для осуществления регулируемой деятельности в административных границах субъекта РФ, суммарная установленная мощность которых составляет не менее 10 МВА.</t>
  </si>
  <si>
    <t>Владение на праве собственности или на ином законном основании на срок не менее очередного расчетного периода регулирования линиями электропередачи (воздушными и (или) кабельными), используемыми для осуществления регулируемой деятельности в административных границах субъекта Российской Федерации, не менее 2 уровней напряжения из следующих уровней напряжения:</t>
  </si>
  <si>
    <t>2.3 Анализ основных технико-экономических показателей 0</t>
  </si>
  <si>
    <t xml:space="preserve">Экспертами проведён анализ основных технико-экономических показателей 0 за 2 предшествующих года, текущий год и расчётный период регулирования. </t>
  </si>
  <si>
    <t>На 2022 год в ведение  заявлено оборудование:</t>
  </si>
  <si>
    <t>Предприятием предложено к рассмотрению на 2022 количество условных единиц оборудования в размере: 0</t>
  </si>
  <si>
    <t>При этом количество УЕ в 2021 году составило 0 а в 2020 году 0 УЕ</t>
  </si>
  <si>
    <t>Состав оборудования 0 на 2022 год не изменён по сравнению с 2021 годом</t>
  </si>
  <si>
    <t>Исходя из анализа представленных документов, экспертами сделан вывод, что имущественный комплекс 0 находится в  и характеризуется следующими показателями:</t>
  </si>
  <si>
    <t>Утверждено 2019</t>
  </si>
  <si>
    <t>факт ТСО 2019</t>
  </si>
  <si>
    <t>Утверждено 2020</t>
  </si>
  <si>
    <t>факт ТСО 2020</t>
  </si>
  <si>
    <t>Утверждено 2021</t>
  </si>
  <si>
    <t>предложение ТСО 2022</t>
  </si>
  <si>
    <t xml:space="preserve">2022,  Версия регулятора </t>
  </si>
  <si>
    <t>Оценка объёмов передачи электрической энергии по сетям 0, показала обоснованность включения в расчёт тарифа на 2022 год объём полезного отпуска электрической энергии в размере 0  млн. кВтч в год.</t>
  </si>
  <si>
    <t xml:space="preserve">Полезный отпуск электрической энергии на 2022 год в границах РСК учитывает договорные объёмы потребителей услуг по передаче электроэнергии, заявленные на 2022 год, а также переток электрической энергии в смежные сетевые организации. </t>
  </si>
  <si>
    <t xml:space="preserve">В расчёт тарифов на услуги по передаче электриче-ской энергии по сетям 0 эксперты приняли балансовые показатели с учётом фактических показателей 2020 года, ожидаемых показателей  2021 год и плана на 2022 год </t>
  </si>
  <si>
    <t>2022</t>
  </si>
  <si>
    <t>Потери на 2022 год рассчитаны в соответствии с п. 40 (1) Основ ценообразования и приказом Минэнерго России от 26.09.2017 № 887 и составляют 0 млн. кВтч или 0% от поступления в сеть. По отношению к утверждённым на 2021 год потери равны</t>
  </si>
  <si>
    <t>3. АНАЛИЗ ЭКОНОМИЧЕСКОЙ ОБОСНОВАННОСТИ ВЕЛИЧИНЫ РАСХОДОВ И ВЕЛИЧИНЫ ПРИБЫЛИ НА 2022 ГОД. СРАВНИТЕЛЬНЫЙ АНАЛИЗ ДИНАМИКИ РАСХОДОВ И ВЕЛИЧИНЫ НЕОБХОДИМОЙ ПРИБЫЛИ</t>
  </si>
  <si>
    <t>Методом регулирования формирования необходимой валовой выручки в отношении 0, принимаемой к расчёту при установлении тарифов, является метод  необходимой валовой выручки. 2020 год является первым годом нового долгосрочного периода (ДПР) на 2020-2024 годы.</t>
  </si>
  <si>
    <t>Статья «Сырье, материалы, запчасти, топливо»</t>
  </si>
  <si>
    <t xml:space="preserve">В соответствии с п.24 Основ ценообразования в области регулируемых цен (тарифов) в электроэнергетике, утвержденных постановлением Прави-тельства Российской Федерации №1178 от 29.12.2011 в статью включаются расходы на сырье и материалы, используемые для производственных и хозяй-ственных нужд. Материалы - предметы, срок полезного использования кото-рых менее 1 года, которые относятся к предметам труда и необходимы для производства продукции, работ, услуг, для хозяйственных нужд организации. </t>
  </si>
  <si>
    <t xml:space="preserve">Организация в соответствии с требованиями Федерального закона от 18.07.2011 № 223-ФЗ «О закупках товаров, работ, услуг отдельными видами юридических лиц» размещает информацию о заказах на выделенной «пло-щадке» официального сайта единой информационной системы РФ по адресу www.zakupki.gov.ru в разделе Закупки. </t>
  </si>
  <si>
    <t>Сам порядок осуществления закупочной деятельности  детально конкретизирован в утвержденном Положении о закупке товаров, работ, услуг для нужд 0. Согласно информации, размещенной на официальном сайте 0 в разделе «закупки», в 2020 году закупки производились у единственного поставщика. На каждый год составляется план закупок, на 2022 год пла-нируются закупки путем проведения запроса предложений.</t>
  </si>
  <si>
    <t xml:space="preserve">В соответствии с плановыми расчетами 0 стоимость материалов для проведения технического обслуживания и текущего ремонта электросетевого оборудования составит – 0 тыс.руб. Фактические (экономически обоснованные) расходы за 2020 год составили 0 тыс. руб. </t>
  </si>
  <si>
    <t>Расшифровки в табличной форме по наименованиям, с указанием количества, цены и суммы, оборотно-сальдовые ведомости и карточки по сч.07,08,10,20,25,26,60, копии договоров, счетов и прочих расчётных докумен-тов, коммерческие предложения, реестр договоров за 2020 год представлены в материалах тарифного дела в электроннном виде (шаблон формата ФГИС ЕИАС лист 12_Сырье и материалы и сканы обосновывающей документации) . Руководствуясь постановлением Правительства Российской Фе-дерации от 29.12.2011 № 1178 «О ценообразовании в области регулирования цен (тарифов) в электроэнергетике», расходы на приобретение сырья и материалов, используемых для производственных и хозяйственных нужд, рассчитаны на основании:</t>
  </si>
  <si>
    <t xml:space="preserve"> -цен на сырье и материалы, определенных договорами, обеспечивающи-ми целевое и эффективное расходование денежных средств;_x000D_
 -официально опубликованных прогнозных рыночных цен и тарифов; _x000D_
 -нормативно-технической документации Российской Федерации;_x000D_
</t>
  </si>
  <si>
    <t xml:space="preserve"> -индекса потребительских цен, принятого на 2022 год Министерством экономического развития Российской Федерации._x000D_
В соответствии с разработанными графиками планово-предупредительных и текущих ремонтов, технического обслуживания и технического осмотра электроустановок определена потребность 0 в материалах на 2022 год. </t>
  </si>
  <si>
    <t>Расчёт расходов на материалы для текущего ремонта и технического обслуживания состоит из нормируемых расходов на:_x000D_
  • приобретение материалов для проведения технического обслужи-вания и текущего ремонта;_x000D_
  • приобретение приборов, инструментов и оснастки.</t>
  </si>
  <si>
    <t>Расчет расходов на материалы выполнен 0согласно Справочника «Производственная эксплуатация, техническое обслуживание  и ремонт энер-гетического оборудования», методики нормирования расхода материалов на ремонт и  техническое обслуживание электрических сетей, МТ 34-70-007-83, стандарту СТО 56947007-29.180.01.116  \«Инструкция по эксплуатации транс-форматоров», стандарту СТО 70238424.29.240.20.009- 2009 «Силовые кабельные линии напряжением 0,4-35 кВ,  Организация эксплуатации и технического обслуживания. Нормы и требования», методическим  рекомендациям по техническому обслуживанию и ремонту оборудования и линейных сооружений коммунальных распределительных электрических сетей, техническое обслу-живание и ремонт трансформаторных подстанций 6-10/0,4 кВ,  одобрен Глав-госэнергонадзором России (письмо от 14.08.96 № 42-04-05/352), инструкциям по эксплуатации силовых кабельных линий, Кабельные линии напряжением до 35 кВ. РД 34.20.508, инструкциям  по эксплуатации трансформаторов. РД 34.46.501.</t>
  </si>
  <si>
    <t xml:space="preserve">Проанализировав представленные для обоснования данной статьи расшифровки и документы, а также фактические затраты материалов за 2020 год (остаток на 31.12.2020 по сч.10 составляет 0 тыс.руб.), эксперты предлагают считать достаточным для данного сетевого хозяйства расходы на материалы в размере 0 тыс. руб. </t>
  </si>
  <si>
    <t>Следует отметить, что реконструкция, модернизация, техническое перевооружение объектов электроэнергетики согласно п.32 Основ ценообразова-ния, утверждённых Постановлением Правительства РФ от 29.12.2011 № 1178, возможна только за счёт утверждённой в соответствии с законодательством Российской Федерации об электроэнергетике инвестиционной программы.</t>
  </si>
  <si>
    <t>Таким образом, в расчёт принята сумма затрат в размере 0 тыс. руб.</t>
  </si>
  <si>
    <t>Статья «Работы и услуги производственного характера»</t>
  </si>
  <si>
    <t>В соответствии с плановыми расчетами 0 стоимость работ про-ведения технического обслуживания и текущего ремонта электросетевого оборудования составит – 0 тыс.руб. Фактические (экономически обос-нованные) расходы за 2020 год составили 0 тыс. руб</t>
  </si>
  <si>
    <t>Организацией разработаны планы-графики капитального ремонта электро-установок, эксплуатируемых на праве собственности и аренды. Планы-графики капитальных ремонтных работ составлены в соответствии с Правилами технической эксплуатации электроустановок. На основании ПКР плани-руется выполнение капитальных ремонтов подрядным способом электросете-вого объекта._x000D_
Расчёт расходов на работы по ремонту основных фондов осуществляется на основании:_x000D_
-плана-графика капитального ремонта электроустановок;_x000D_
-дефектных актов на осмотр электроустановок;_x000D_
-смет на капитальный ремонт электроустановок.</t>
  </si>
  <si>
    <t>Расшифровка затрат по данной статье, реестр договоров за 2018 год, оборотно-сальдовые ведомости за 2018 год по счетам 07,08,10, 20, 25,26, 60, график ремонтов, копии договоров о выполнении работ (услуг), акты о при-емке выполненных работ формы КС-2, представлены в материалах тарифного дела в электроннном виде (шаблон формата ФГИС ЕИАС листы 13_РПР Ремонт, 14_Ремонты ЭСХ, 15_Информация по ТО, а так же сканы обосновывающей документации) .</t>
  </si>
  <si>
    <t>Рассмотрев предоставленные документы, обосновывающие расходы по статье «Работы и услуги производственного характера», эксперты признают расходы экономически обоснованными на уровне фактических затрат за 2020 год в размере 0 тыс. руб.</t>
  </si>
  <si>
    <t>В качестве обоснования расходов 0 были предоставлены:</t>
  </si>
  <si>
    <t xml:space="preserve"> - расчёт нормативной численности административно-управленческого персонала 0</t>
  </si>
  <si>
    <t xml:space="preserve"> - расчёт нормативной численности рабочих 0</t>
  </si>
  <si>
    <t xml:space="preserve"> - положение об оплате труда и премировании;</t>
  </si>
  <si>
    <t xml:space="preserve"> - таблица П.1.16 на 2022 год, предусмотренная Методическими указани-ями № 20-э/2, в формате шаблона формата ФГИС ЕИАС лист 16_Персонал</t>
  </si>
  <si>
    <t xml:space="preserve"> - оборотно-сальдовые ведомости за 2020 год по счетам 20,25, 26, 70, 91;</t>
  </si>
  <si>
    <t xml:space="preserve"> - анализ заработной платы по сотрудникам за 2020 год.</t>
  </si>
  <si>
    <t>Расходы на оплату труда, принятые в расчет тарифа по передаче электрической энергии по сетям 0 на 2022 год, сформированы на основании следующих нормативных документов: Трудовой кодекс Российской Федерации</t>
  </si>
  <si>
    <t>Отраслевое тарифное соглашение в электроэнергетике Российской Федерации, официальных данных Росстата РФ и  о средней заработной плате в электроэнергетике. При этом расчетная численность на 2022 год для обеспечения деятельности по передаче электрической энергии рассчитана на основе:</t>
  </si>
  <si>
    <t xml:space="preserve">  - Квалификационного справочника (КС) должностей руководителей, специалистов и других служащих организаций электроэнергетики. Используемый квалификационный справочник является нормативным документом, разработанным ОАО «ЦОТэнерго» по поручению РАО «ЕЭС России» и утвержденным постановлением Министерства труда и социального развития Рос-сийской Федерации от 29.01.2004 № 4;</t>
  </si>
  <si>
    <t xml:space="preserve">  - Нормативов численности промышленно-производственного пер-сонала распределительных электрических сетей, разработанных ОАО «ЦОТ-энерго» и утвержденных РАО «ЕЭС России» от 03.12.2004;</t>
  </si>
  <si>
    <t xml:space="preserve">  - Рекомендаций о едином порядке оплаты труда по тарифным став-кам (должностным окладам) работников электроэнергетики, разработанных ОАО «ЦОТэнерго» по заказу РАО «ЕЭС России» и утвержденных от 14.11.2005. </t>
  </si>
  <si>
    <t>Плановая численность работников, оказывающих услуги по передаче электрической энергии на 2022 год, составляет  человек</t>
  </si>
  <si>
    <t>По штатному расписанию за 2020 год численность</t>
  </si>
  <si>
    <t>Плановая численность сотрудников соответствует численности штатного расписания</t>
  </si>
  <si>
    <t>В таблице П1.16 фактическая численность не указана</t>
  </si>
  <si>
    <t>Экспертами нормативная численность определена на основании прика-за Госстроя РФ от 03.04.2000 № 68 и данных таблиц П.2.1. «Объём воздушных линий электропередач (ВЛЭП) и кабельных линий электропередач (КЛЭП) в условных единицах в зависимости от протяжённости, напряжения, конструк-тивного использования и материала опор» и П.2.2. «Объём подстанций 35-1150 кВ, трансформаторных подстанций (ТП), комплексных трансформатор-ных подстанций (КТП) и распределительных пунктов (РП) 0,4-20 кВ в услов-ных единицах» в формате шаблона  ENERGY.CALC.NVV.TSO листы "ФОТ норматив"  (Приложение №1 в приложении к заключению)</t>
  </si>
  <si>
    <t>Согласно расчёту экспертов нормативная численность составляет 8 человек.</t>
  </si>
  <si>
    <t xml:space="preserve">Анализ расходов показал, что фактические расходы за 2020 год по данной статье составили 0тыс. руб., при этом средняя заработная плата составила 0 рублей (в соответствии с представленной формой «Анализ зарплаты по сотрудникам за 2020 год). </t>
  </si>
  <si>
    <t>Для определения экономически обоснованных расходов на оплату труда экспертами принимаются во внимание статистические данные о среднемесячной заработной плате по  в электроэнергетике за 2020 год. Среднемесячная заработная плата на предприятии укладывается в рамки среднестатистической</t>
  </si>
  <si>
    <t>Организацией представлен в регулирующий орган расчёт согласно таблице П.1.16 Методических указаний по расчёту регулируемых тарифов и цен на электрическую энергию утверждённых приказом ФСТ России от 06.08.2004 №20-э/2 исходя из рассчитанного количества ППП в формате шаблона  ENERGY.CALC.NVV.TSO лист "16_Персонал" (Приложение №2 в приложении к заключению)"</t>
  </si>
  <si>
    <t xml:space="preserve">Для определения экономически обоснованных расходов на оплату труда на 2022 год экспертами принимаются: </t>
  </si>
  <si>
    <t>размер заработной платы</t>
  </si>
  <si>
    <t xml:space="preserve"> (статистические данные о среднемесячной заработной плате по  в электроэнергетике за 2020 год). </t>
  </si>
  <si>
    <t>0 тыс.руб. х 8 чел. х 12 мес.= 0 тыс.руб.</t>
  </si>
  <si>
    <t>Таким образом, принимая во внимание вышеизложенные факторы, эксперты предлагают принять расходы на оплату труда в размере 0 тыс. Руб</t>
  </si>
  <si>
    <t>Статья «Другие прочие расходы»</t>
  </si>
  <si>
    <t>В соответствии с требованиями п.29. Основ ценообразования… при определении фактических значений расходов (цен) регулирующий орган использует (в порядке очерёдности, если какой-либо из видов цен не может быть применён по причине отсутствия информации о таких ценах):</t>
  </si>
  <si>
    <t xml:space="preserve">  - установленные на очередной период регулирования цены (тарифы) в случае, если цены (тарифы) на соответствующие товары (услуги) подлежат государственному регулированию;_x000D_
  - расходы (цены), установленные в договорах, заключённых в результате проведения торгов;_x000D_
  - рыночные цены, сложившиеся на организованных торговых площад-ках, в том числе биржах, функционирующих на территории Российской Феде-рации;_x000D_
  - рыночные цены, предоставляемые организациями, осуществляющими сбор информации о рыночных ценах, разработку и внедрение специализиро-ванных программных средств для исследования рыночных цен, подготовку периодических информационных и аналитических отчётов о рыночных ценах.</t>
  </si>
  <si>
    <t>При отсутствии указанных данных расчётные значения расходов определяются с использованием официальной статистической информации._x000D_
В соответствии с Положением о закупках организации цена договора с поставщиками сформирована в результате торгов - открытый запрос предложений. За исключением случаев, когда:</t>
  </si>
  <si>
    <t xml:space="preserve">  - поставка товаров, выполнение работ, оказание услуг относятся к сфере деятельности субъектов естественных монополий в соответствии с Феде-ральным законом от 17 августа 1995 года № 147-ФЗ «О естественных монопо-лиях», и отсутствует альтернатива поставщику;_x000D_
  - работы или услуги выполняются (оказываются) исключительно орга-нами исполнительной власти в соответствии с их полномочиями или подве-домственными им государственными учреждениями, государственными уни-тарными предприятиями, муниципальные предприятия, соответствующие полномочия которых устанавливаются нормативными правовыми актами Российской Федерации, нормативными правовыми актами субъекта Россий-ской Федерации;_x000D_
  - осуществляется оказание услуг водоснабжения, водоотведения, кана-лизации, теплоснабжения, газоснабжения (за исключением услуг по реализа-ции сжиженного газа), подключение (присоединение) к сетям инженерно-технического обеспечения по регулируемым в соответствии с законодатель-ством Российской Федерации ценам (тарифам);_x000D_
  - осуществляется закупка на оказание услуг стационарной и мобильной связи в связи с наличием у Заказчика номерной ёмкости конкретного опера-тора связи, а также интернет услуг;_x000D_
  - заключается договор на юридические и консультационные услуги, услуги нотариуса, адвоката и т.п.;_x000D_
  </t>
  </si>
  <si>
    <t xml:space="preserve">  - заключается договор на участие в выставке, конференции, семинаре, обучение, стажировке, участии в ином мероприятии с Поставщиком, являю-щимся организатором такого мероприятия или уполномоченным организато-ром мероприятия;_x000D_
  - возникла потребность в закупке услуг, связанных с направлением ра-ботника в служебную командировку, в том числе проезд к месту служебной командировки и обратно, гостиничное обслуживание или наем жилого поме-щения, транспортное обслуживание, обеспечение питания, услуги связи и иные сопутствующие расходы;_x000D_
  - осуществляется закупка финансовых услуг по открытию и ведению банковских счетов и по осуществлению расчётов по этим счетам, по размеще-нию депозитов, для получения в качестве принципала банковских гарантий, в том числе предоставление кредита для осуществления деятельности, преду-смотренной Уставом Заказчика;_x000D_
  - закупка услуг по подписке и доставке средств массовой информации._x000D_
В результате анализа реестра закупок, предоставленного организацией в составе запросов органом регулирования, фактов нарушений п.29 Основ це-нообразования не выявлено: приобретение осуществлялось путём открытого запроса предложений, за исключением вышеперечисленных случаев, что не противоречит требованиям нормативно-правовых актов. Таким образом, приобретённые работы и услуги соответствуют критерию рыночных цен.I338</t>
  </si>
  <si>
    <t>0 планирует по статье «Оплата работ и услуг сторонних организаций» на 2022 год 0 тыс.руб. Фактические расходы за 2020 год составили.0 тыс.руб.</t>
  </si>
  <si>
    <t xml:space="preserve">В соответствии с пунктом 7 постановления Правительства РФ от 29.12.2011 №1178 при установлении регулируемых цен (тарифов) регулирую-щие органы принимают меры, направленные на исключение из расчетов эко-номически необоснованных расходов организаций, осуществляющих регули-руемую деятельность. </t>
  </si>
  <si>
    <t xml:space="preserve">По данной статье организация планирует расходов на сумму 0 тыс.руб. Фактические расходы за 2020 год составили -0 тыс.руб. </t>
  </si>
  <si>
    <t>В качестве обоснования расходов 0 представлены следующие документы:</t>
  </si>
  <si>
    <t xml:space="preserve">  - расшифровка прочих расходов и доходов за 2020 год;</t>
  </si>
  <si>
    <t xml:space="preserve">  - копия договора на банковское обслуживание;</t>
  </si>
  <si>
    <t>Экономически обоснованный уровень подконтрольных расходов 0 на 2022 год (базовый год долгосрочного периода регулирования) определён экспертами методом экономически обоснованных расходов и составил 0 тыс. руб.</t>
  </si>
  <si>
    <t>1) уровня цен и климатических условий в регионе, в котором осу-ществляется деятельность ТСО;_x000D_
2) натуральных показателей ТСО (протяжённость сетей, трансформа-торная ёмкость подстанций, максимальное фактическое за отчётный пери-од регулирования количество точек поставки электрической энергии по-требителем услуг, присоединённым к ТСО).</t>
  </si>
  <si>
    <t>Расчёт рейтинга эффективности произведён с использованием нор-мализованных удельных показателей за 2019 – 2020 гг. Для определения базового уровня подконтрольных расходов на 2022 год коэффициенты нормализации рассчитаны в соответствии с приложением № 7 к Методиче-ским указаниям № 421-э на основании всего массива данных о показателях ТСО, представленных по форме приложения № 1 к Методическим указани-ям № 421-э за 2012-2020 гг.</t>
  </si>
  <si>
    <t>Индекс эффективности подконтрольных расходов для 0 определён экспертами на уровне 0%.</t>
  </si>
  <si>
    <t>Расчёт величины эффективного уровня подконтрольных расходов на 2022 год в формате шаблона  ENERGY.CALC.NVV.TSO лист индекс эффективности ОПР (Приложение №3 в приложении к заключению)</t>
  </si>
  <si>
    <t>В соответствии с п. 13 Методических указаний №421-э, в случае если, в соответствии с представленными данными, значение фактических под-контрольных расходов за один из 2 лет, предшествующих периоду регули-рования, превышает значение подконтрольных расходов, установленное органом регулирования на соответствующий год, более чем на D процен-тов, установление базового уровня подконтрольных расходов такой ТСО осуществляется в соответствии с действующим для ТСО долгосрочным ме-тодом регулирования:</t>
  </si>
  <si>
    <t>b и p - параметры, определяющие допустимое превышение фактиче-ских операционных, подконтрольных расходов над установленным в зави-симости от расчётной эффективности ТСО, установленные в соответствии с Методическими указаниями по определению базового уровня операцион-ных, подконтрольных расходов территориальных сетевых организаций, необходимых для осуществления регулируемой деятельности, и индекса эффективности операционных, подконтрольных расходов с применением метода сравнения аналогов;_x000D_
  - значение индекса эффективности подконтрольных расходов, определённое на основании расчёта рейтинга эффективности в соответ-ствии с Методическими указаниями по определению базового уровня опе-рационных, подконтрольных расходов территориальных сетевых органи-заций, необходимых для осуществления регулируемой деятельности, и ин-декса эффективности операционных, подконтрольных расходов с примене-нием метода сравнения аналогов.</t>
  </si>
  <si>
    <t>Расчёт базового уровеня подконтрольных расходов 2022 год в формате шаблона ENERGY.CALC.NVV.TSO лист баз.ур.под расх. (Приложение №4 в приложении к заключению) и составляет 0тыс.руб.</t>
  </si>
  <si>
    <t>Подконтрольные расходы на 2020-2024гг., а также планируемые значения параметров расчёта тарифов, с учётом которых произведён расчёт, определены исходя из следующего:</t>
  </si>
  <si>
    <t>1. Базовый уровень подконтрольных расходов на 2022  год – 0 тыс. руб.</t>
  </si>
  <si>
    <t>2. Индекс эффективности подконтрольных расходов - 0%;</t>
  </si>
  <si>
    <t>4. Индекс потребительских цен (0 % - 2022 к 2021) определён в соответствии с Прогнозом социально-экономического развития Российской Федерации на период до 2024 г.;</t>
  </si>
  <si>
    <t>5. Объем активов – 0 у.е.</t>
  </si>
  <si>
    <t>Подконтрольные расходы на 2020-2024 гг. рассчитаны экспертами исходя из базового уровня подконтрольных расходов на 2020 год в соответствии с п.11 Методических указаний от 17.02.2012 г. № 98-э и составляют:</t>
  </si>
  <si>
    <t>Неподконтрольные расходы для базового и i-го года долгосрочного пе-риода регулирования определяются методом экономически обоснованных за-трат на основании п.11 Методических указаний № 98-э.</t>
  </si>
  <si>
    <t>Фактические расходы в 2020 году составили 0 тыс. руб., в том числе аренда электросетевого хозяйства – 0 тыс. руб. Утверждённые расходы на 2021 год составили 0 тыс. руб., в том числе аренда электросетевого хозяйства – 0 тыс. руб. Предприятием планируется на 2022 год по данной статье затрат на аренду в сумме 0 тыс. руб., в том числе аренда электросетевого хозяйства на сумму 0 тыс. руб.</t>
  </si>
  <si>
    <t>В соответствии с пп. 5 п. 28 Основ ценообразования… расходы на аренду определяются регулирующим органом исходя из величины амортизации и необходимых налогов, относящихся к арендуемому имуществу.</t>
  </si>
  <si>
    <t>Пообъектный расчет аренды электросетевого хозяйства на 2022 год в формате шаблона ENERGY.CALC.NVV.TSO лист 22_Аренда ЭСХ  (Приложение №5 и в приложении к заключению) и составляет 0тыс.руб.</t>
  </si>
  <si>
    <t>Пообъектный расчет аренды прочего имущества на 2022 год в формате шаблона ENERGY.CALC.NVV.TSO лист 24_Аренда прочее им.  (Приложение №6 и в приложении к заключению) и составляет 0тыс.руб.</t>
  </si>
  <si>
    <t>Таким образом, эксперты предлагают считать экономически обоснованными затраты на аренду на 2022 год в размере 0 тыс. руб., в том числе по объектам электросетевого хозяйства в размере 0 тыс. руб.</t>
  </si>
  <si>
    <t>Оценку экономически обоснованных расходов за 2020 год эксперты провели аналогичным способом, принимая минимальный размер аренды по договору или по расчёту в соответствии с Основами ценообразования…</t>
  </si>
  <si>
    <t>По расчёту экспертов (исходя из амортизации и налогов) расходы на аренду электросетевого хозяйства за 2020 год составили 0 тыс. руб.</t>
  </si>
  <si>
    <t>сумма арендной платы и сумма заключенных договоров равны</t>
  </si>
  <si>
    <t>Расходы на аренду прочего имущества за 2020 год составили 0 тыс. руб</t>
  </si>
  <si>
    <t>В соответствии с Федеральным законом от 26.03.2003 № 35-ФЗ одним из общих принципов организации экономических отношений и основами госу-дарственной политики в сфере электроэнергетики является соблюдение ба-ланса экономических интересов поставщиков и потребителей электрической энергии.</t>
  </si>
  <si>
    <t>Учитывая изложенное, экспертами признают экономически обоснованными расходы на аренду за 2020 год в размере 0 тыс. руб. в том числе аренда электросетевого хозяйства на сумму 0 тыс. руб.</t>
  </si>
  <si>
    <t xml:space="preserve">Утверждённые расходы на 2020 год составили 0 тыс. руб. Предприятием планируются на 2022 год по данной статье расходы </t>
  </si>
  <si>
    <t>Для обоснования расходов 0 представлена копия налоговой декларации по налогу</t>
  </si>
  <si>
    <t>Эксперты, проанализировав представленные предприятием обоснования ста-тьи, приняли решение учесть расходы в размере 0 тыс.руб.</t>
  </si>
  <si>
    <t xml:space="preserve"> Расходы на уплату налогов организацией на 2020 год планирвоались 0, фактические расходы составили 0  тыс.руб. и признаются экспертами экономически обоснованными на 2022 год в размере 0 тыс. руб.</t>
  </si>
  <si>
    <t xml:space="preserve">Утверждённые расходы на 2020 год составили 0 тыс. руб. Планируемый предприятием размер страховых взносов, включаемых в необходимую валовую выручку на 2022 год, составляет 0 тыс. руб. </t>
  </si>
  <si>
    <t>Фактические расходы по статье «Отчисления на социальные нужды» за 2020 год подтверждены оборотно-сальдовыми ведомостями по сч. 20, сч.69</t>
  </si>
  <si>
    <t xml:space="preserve">В соответствии с ст.425 Налогового Кодекса РФ (часть вторая глава 34) экспертами произведён расчёт страховых взносов на обязательное пенсион-ное страхование, на обязательное социальное страхование, на обязательное медицинское страхование» в размере 30% к сумме выплат и иных вознаграж-дений, начисленных плательщиками страховых взносов за расчётный период в пользу физических лиц. </t>
  </si>
  <si>
    <t>Фондом социального страхования РФ для 0 определен</t>
  </si>
  <si>
    <t xml:space="preserve"> Cреднемесячная заработная плата работников по полному кругу организаций (по виду деятельности «Обеспечение электрической энергией, газом и паром; кондиционирование воздуха») по данным органов статистики по  за 2020 год составила, тыс.руб.</t>
  </si>
  <si>
    <t>Утверждено на 0 год - 0 тыс.руб.</t>
  </si>
  <si>
    <t>Экспертами принято решение согласиться с организацией и учесть сумму налога на прибыль на 2022 год в размере 0 тыс. руб.</t>
  </si>
  <si>
    <t xml:space="preserve">Расходы на уплату налога на прибыль на 2020 год планировались в размере  0 тыс.руб., фактические расходы составили  0 тыс.руб. и признаются экспертами экономически обоснованными в размере  0 тыс. руб. </t>
  </si>
  <si>
    <t>Утверждено на 2020 год  0 тыс.руб. Планируемые предприятием расходы на 2022 год 0 тыс. руб. В соответствии с п.27 Основ ценообразования, расчёт амортизации основных фондов производится по нормам амортизационных отчислений, утверждённым в установленном порядке.</t>
  </si>
  <si>
    <t xml:space="preserve">Для обоснования расходов 0 представлены копии инвентарных карточек учёта основных средств форма ОС-6, оборотно-сальдовые ведомости по сч.01, сч.02, ведомость амортизации ОС за2020 год, приказы на ввод в экс-плуатацию основных средств. </t>
  </si>
  <si>
    <t>В соответствии с п.27 Основ ценообразования, расчёт амортизации ос-новных фондов и нематериальных активов для расчета регулируемых цен (тарифов) определяется в соответствии с нормативными правовыми актами, ре-гулирующими отношения в сфере бухгалтерского учета. При расчете эконо-мически обоснованного размера амортизации на плановый период регулиро-вания срок полезного использования активов и отнесение этих активов к соответствующей амортизационной группе определяется регулирующими ор-ганами в соответствии с максимальными сроками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t>
  </si>
  <si>
    <t xml:space="preserve">Пообъектный расчет амортизации на 2022 год в формате шаблона ENERGY.CALC.NVV.TSO лист 26_Расчет амортизации  (Приложение №7 и в приложении к заключению) </t>
  </si>
  <si>
    <t>3.3. Расходы, связанные с компенсацией незапланированных расхо-дов или полученного избытка</t>
  </si>
  <si>
    <t>В соответствии с п. 10 Методических указаний № 98-э результаты дея-тельности регулируемой организации учитываются при определении ежегод-ной корректировки необходимой валовой выручки в порядке, определённом теми же Методическими указаниями.</t>
  </si>
  <si>
    <t>Предприятием предлагается включить в необходимую валовую выручку на 2022 год корректировки, рассчитанные на основании фактических данных за 2020 год, в сумме 0 тыс. руб., в том числе:</t>
  </si>
  <si>
    <t>1) корректировка подконтрольных расходов в связи с изменением планируемых параметров расчёта тарифов в сумме 0 тыс. руб.;</t>
  </si>
  <si>
    <t>2) корректировка неподконтрольных расходов исходя из фактических значений указанного параметра в сумме 0 тыс. руб.;</t>
  </si>
  <si>
    <t>3) корректировка необходимой валовой выручки по доходам от осуществления регулируемой деятельности в сумме 0 тыс.руб.;</t>
  </si>
  <si>
    <t>4) корректировка необходимой валовой выручки регулируемой организации с учётом изменения полезного отпуска и цен на электрическую энергию в сумме 0 тыс.руб.</t>
  </si>
  <si>
    <t>5) Выполнение инвестиционной программы 0 тыс.руб.</t>
  </si>
  <si>
    <t>6) Корректировка  НВВ по исполнению показателей надежности и качества 0 тыс.руб.</t>
  </si>
  <si>
    <t>7) Корректировка ком. Учета 0 тыс.руб.</t>
  </si>
  <si>
    <t>8) Корректировка НВВ по решению суда или ФАС 0 тыс.руб.</t>
  </si>
  <si>
    <t>9) Корректировка НВВ в соответствии с актом проверки 0 тыс.руб.</t>
  </si>
  <si>
    <t>Эксперты рассмотрели представленные материалы и произвели расчёт всех корректировок, определённых Методическими указаниями № 98-э. _x000D_
В соответствии с п. 11 Методических указаний № 98-э расходы i-го года долгосрочного периода регулирования, связанные с компенсацией незапла-нированных расходов (со знаком "плюс") или полученного избытка (со знаком "минус"), выявленных в том числе по итогам последнего истекшего года дол-госрочного периода регулирования, за который известны фактические значе-ния параметров расчёта тарифов, связанных с необходимостью корректиров-ки валовой выручки регулируемых организаций, указанной в пункте 9, а так-же расходы в соответствии с пунктом 10 Методических указаний № 98-э и корректировка необходимой валовой выручки в соответствии с пунктом 32 Основ ценообразования…</t>
  </si>
  <si>
    <t>1) корректировка подконтрольных расходов в связи с изменением пла-нируемых параметров расчёта тарифов. _x000D_
В соответствии с п. 11 Методических указаний № 98-э расходы i-го года долгосрочного периода регулирования, связанные с компенсацией незапла-нированных расходов (со знаком "плюс") или полученного избытка (со знаком "минус"), выявленных в том числе по итогам последнего истекшего года дол-госрочного периода регулирования, за который известны фактические значе-ния параметров расчёта тарифов, связанных с необходимостью корректиров-ки валовой выручки регулируемых организаций, указанной в пункте 9, а так-же расходы в соответствии с пунктом 10 Методических указаний № 98-э и корректировка необходимой валовой выручки в соответствии с пунктом 32 Основ ценообразования…</t>
  </si>
  <si>
    <t xml:space="preserve">где, </t>
  </si>
  <si>
    <t>корректировка подконтрольных расходов в связи с изменением планируемых параметров расчёта тарифов. Не определяется для случаев, если год (i-2) яв-ляется первым годом долгосрочного периода регулирования;</t>
  </si>
  <si>
    <t>Подконтрольные расходы план за 2019 год</t>
  </si>
  <si>
    <t>Подконтрольные расходы план за 2020 год</t>
  </si>
  <si>
    <t>ИПЦ факт на 2020 год</t>
  </si>
  <si>
    <t>ИКА факт на 2020 год</t>
  </si>
  <si>
    <t>УЕ факт на 2020 год</t>
  </si>
  <si>
    <t>УЕ факт на 2019 год</t>
  </si>
  <si>
    <t xml:space="preserve"> - корректировка неподконтрольных расходов исходя из фактических значений указанного параметра; </t>
  </si>
  <si>
    <t>Расчёт компенсации неподконтрольных расходов в соответствии с мето-дическими указаниями определяется как разница между фактическими не-подконтрольными расходами за 2020 год и утверждёнными неподконтрольными расходами на 2020 год.</t>
  </si>
  <si>
    <t>Экспертами проведён анализ по каждой статье неподконтрольных расходов за 2020 год и определены суммы фактических расходов за 2020 год по каждой статье неподконтрольных расходов. Все сведения о фактических неподконтрольных расходах по расчёту экспертов представлены выше подраз-деле «Расчёт неподконтрольных расходов» раздела 3.</t>
  </si>
  <si>
    <t>2019 утверждено</t>
  </si>
  <si>
    <t>2019 факт ТСО</t>
  </si>
  <si>
    <t>2019 факт версия регулятора</t>
  </si>
  <si>
    <t>2.13</t>
  </si>
  <si>
    <t>Экономия расходов на оплату потерь электрической энергии (п. 34(1)-34(3) Основ ценообразования)</t>
  </si>
  <si>
    <t>2.14</t>
  </si>
  <si>
    <t>корректировка необходимой валовой выручки по доходам от осуществления регулируемой деятельности рассчитана исходя из планового и фактического объём выручки за услуги по передаче электрической энергии за год i-2 в части содержания электрических сетей (с учётом фактически недополученной выручки по зависящим от сетевой ор-ганизации причинам)</t>
  </si>
  <si>
    <t>определяемый исходя из установленных на год i-2 тарифов на услуги по пере-даче электрической энергии без учёта ставки, используемой для целей опре-деления расходов на оплату нормативных потерь электрической энергии при её передаче по электрическим сетям, и плановых и фактических объёмов ока-занных услуг.</t>
  </si>
  <si>
    <t>Фактический объем отпуска э/э в сеть 2019 год</t>
  </si>
  <si>
    <t>Прогнозный объем отпуска э/э в сеть 2019 год</t>
  </si>
  <si>
    <t>Фактическая цена покупки потерь 2019 год</t>
  </si>
  <si>
    <t>Уровень технологического расхода (потерь) э/э (утв.) 2019 год</t>
  </si>
  <si>
    <t>Прогнозная цена покупки потерь 2019 год</t>
  </si>
  <si>
    <t xml:space="preserve">5) корректировка необходимой валовой выручки, осуществляемая в связи с изменением (неисполнением) инвестиционной программы </t>
  </si>
  <si>
    <t>Корректировка неисполнения ИПР за 2019 год</t>
  </si>
  <si>
    <t>Расчетная величина собственных средств РО для финансирования ИПР, установленная на  2019 год</t>
  </si>
  <si>
    <t>Фактический размер финансирования ИПР,  2019 год</t>
  </si>
  <si>
    <t>2.1.3</t>
  </si>
  <si>
    <t>Плановый размер финансирования ИПР,  2019 год</t>
  </si>
  <si>
    <t xml:space="preserve">6) корректировка необходимой валовой выручки с учётом показателей надёжности и качества оказываемых услуг в 2020 году по расчёту экспертов составила 0 тыс. руб. </t>
  </si>
  <si>
    <t>Величина корректировки необходимой валовой выручки с учётом надёжности и ‎качества услуг, производимой на основании фактических данных за 2020 год, определяется с учётом понижающего (повышающего) коэф-фициента, корректирующего необходимую валовую выручку электросетевой организации с учётом надёжности и качества производимых (реализуемых) товаров (услуг) в 2020 году, определяемого в процентах в соответствии с Методическими указаниями по расчёту и применению понижающих (повышаю-щих) коэффициентов, позволяющих обеспечить соответствие уровня тари-фов, установленных для организаций,  осуществляющих регулируемую дея-тельность, уровню надёжности и качества поставляемых товаров и оказывае-мых услуг, утверждёнными приказом ФСТ России от 26.10.2010 № 254-э/1.</t>
  </si>
  <si>
    <t>Анализ показателей надёжности и качества проведён экспертами с при-менением Методических указаний по расчёту уровня надёжности и качества поставляемых товаров и оказываемых услуг для организации по управлению единой национальной (общероссийской) электрической сетью и территори-альных сетевых организаций, утверждёнными приказом Минэнерго России от 14.10.2013 № 718, в соответствии с которыми были установлены плановые показатели</t>
  </si>
  <si>
    <t>Обобщённый показатель надёжности и качества оказываемых услуг в 2020 году, используемый при осуществлении корректировки цен (тарифов), установленных на долгосрочный период регулирования, связанный с откло-нением фактических значений показателей надёжности и качества оказывае-мых услуг от плановых (далее - обобщённый показатель), который в 2018 году определялся в соответствии с Методическими указаниями № 718.</t>
  </si>
  <si>
    <t>Максимальный процент корректировки, определяемый для 2020 года = 2 %.</t>
  </si>
  <si>
    <r>
      <t>3.5. Расчёт расходов на покупную электроэнергию для компенсации потерь</t>
    </r>
    <r>
      <rPr>
        <sz val="13"/>
        <rFont val="Tahoma"/>
        <family val="2"/>
        <charset val="204"/>
      </rPr>
      <t xml:space="preserve"> </t>
    </r>
  </si>
  <si>
    <t>Потери на 2022 год рассчитаны в соответствии с п. 40 (1) Основ ценообразо-вания… и приказом Минэнерго России от 26.09.2017 № 887 Об утверждении нормативов потерь электрической энергии при ее передаче по электрическим сетям территориальных сетевых организаций, и составляют 0 млн. кВтч или 0% от поступления в сеть. Объём потерь соответствует сводному прогнозному балансу</t>
  </si>
  <si>
    <t>производства и поставок электрической энергии (мощности) по  на 2022 год"утверждённому приказом ФАС России от</t>
  </si>
  <si>
    <t>Тариф покупки определён на основании прогнозных рыночных цен на электрическую энергию (мощность), продаваемую на оптовом рынке, определяемых по субъектам Российской Федерации с учётом официально опублико-ванных на официальном сайте Ассоциации НП «Совет рынка» (по состоянию на 28.11.2022) данных о прогнозных свободных (нерегулируемых) ценах на электрическую энергию, цен на электрическую энергию (мощность), по субъектам Российской Федерации на 2022 год, и информации об основных макроэкономических показателях прогноза социально-экономического развития Российской Федерации, одобренного Правительством Российской Федерации на расчётный период регулирования; с учётом сбытовой надбавки и величины платы за услуги, оказание которых неразрывно связано с процессом снабжения потребителей электрической энергией и цены (тарифы) на которые подлежат государственному регулированию в размере 0./МВтч. (с учетом НДС)</t>
  </si>
  <si>
    <t>Утверждено 2020 год</t>
  </si>
  <si>
    <t>Факт 2020 год</t>
  </si>
  <si>
    <t>Утверждено 2021 год</t>
  </si>
  <si>
    <t>Утверждено 2022 год</t>
  </si>
  <si>
    <t>Таким образом, экономически обоснованными признаны затраты на электроэнергию, приобретаемую в целях компенсации потерь, в размере 0 тыс. руб. Изменение потерь по отношению к утверждённым на 2021 год составило (-100%).</t>
  </si>
  <si>
    <t>4. АНАЛИЗ ПОДКОНТРОЛЬНЫХ РАСХОДОВ ЗА ПРЕДЫДУЩИЙ ДОЛГОСРОЧНЫЙ ПЕРИОД / АНАЛИЗ РАСХОДОВ ЗА ПРЕДЫДУЩИЙ ПЕРИОД РЕГУЛИРОВАНИЯ</t>
  </si>
  <si>
    <t>Первый долгосрочный период регулирования</t>
  </si>
  <si>
    <t xml:space="preserve"> -</t>
  </si>
  <si>
    <t>года</t>
  </si>
  <si>
    <t xml:space="preserve">В котором на  год установление цен (тарифов) производился методом </t>
  </si>
  <si>
    <t>В соответствии с письмом ФАС России от 19.06.2017 № ИА/41019/17 вне зависимости от метода регулирования, который применялся в предшествую-щем долгосрочном периоде регулирования и который будет применяться на следующий долгосрочный период регулирования, органы регулирования при установлении базового уровня операционных подконтрольных расходов на первый год нового долгосрочного периода регулирования обязаны провести анализ обоснованности расходов регулируемой организации, понесённых в текущем долгосрочном периоде, и принять меры, предусмотренные п. 7 Основ ценообразования, а так же при наличии результатов контрольных мероприя-тий, соответствующим образом учесть эти результаты.</t>
  </si>
  <si>
    <t>Пунктом 7 Основ ценообразования предусмотрено, относить к экономи-чески необоснованным расходам организаций, осуществляющих регулируе-мую деятельность, в том числе выявленные на основании данных статистиче-ской и бухгалтерской отчётности и иных материалов:</t>
  </si>
  <si>
    <t xml:space="preserve"> - расходы организаций осуществляющих регулируемую деятельность в предыдущем периоде регулирования, не связанные с осуществлением регули-руемой деятельности этих организаций и покрытые за счёт поступлений от регулируемой деятельности;</t>
  </si>
  <si>
    <t xml:space="preserve"> - учтённые при установлении регулируемых цен (тарифов) расходы, фактически не понесённые в периоде регулирования, на который устанавли-вались регулируемые цены (за исключением случая применения в отношении организации, осуществляющей регулируемую деятельность, метода доходно-сти инвестированного капитала и метода долгосрочной индексации необхо-димой валовой выручки, а также случаев, предусмотренных пунктом 21(1) Ос-нов ценообразования…).</t>
  </si>
  <si>
    <t>В этой связи и с учётом того, что законодательством, действующим в области ценообразования в электроэнергетике, не предусмотрена возмож-ность превышения фактической величины операционных подконтрольных расходов (ОПР) над величиной ОПР, определённой органом регулирования в соответствии с законодательством на соответствующий год в текущем долго-срочном периоде регулирования (ДПР), указанное превышение следует отно-сить к расходам, не связанным с осуществлением регулируемой деятельности. Расходы в размере указанного превышения подлежат исключению из тари-фов.</t>
  </si>
  <si>
    <t>Законодательством, действующим в области ценообразования, регла-ментированы действия органов регулирования, направленные на сохранение экономии указанных расходов, которая непосредственно обусловлена реаль-ным и объективным повышением эффективности работы организаций, кото-рое нашло своё выражение в превышении темпов повышения эффективности (снижения) расходов по отношению к показателям, предусмотренным при установлении тарифов.</t>
  </si>
  <si>
    <t>Экспертами проведён анализ подконтрольных расходов  0 за период - гг., по которым имеются фактические данные за полный год. Подконтрольные расходы за 2021 год будут проанализированы после закрытия финансового года и сдачи бухгалтерской отчётности в налоговые ор-ганы (то есть при тарифном регулировании на 2023 год). Фактически понесённые экономически обоснованные затраты подтверждены.</t>
  </si>
  <si>
    <t xml:space="preserve">Экономически обоснованными признаются затраты, подтверждённые данными бухгалтерского учёта за - гг. Принцип признания затрат (в целях налогообложения) законодательно закреплён в ст. 252 НК РФ – расхо-дами признаются обоснованные и документально подтверждённые затраты (а в случаях, предусмотренных ст. 265 НК РФ, убытки), осуществлённые (поне-сённые) налогоплательщиком. </t>
  </si>
  <si>
    <t>Под обоснованными расходами понимаются экономически оправданные за-траты, оценка которых выражена в денежной форме. Под документально под-тверждёнными расходами понимаются затраты, подтверждённые документа-ми, оформленными в соответствии с законодательством РФ, либо документа-ми, оформленными в соответствии с обычаями делового оборота, применяе-мыми в иностранном государстве, на территории которого были произведены соответствующие расходы, и (или) документами, косвенно подтверждающими произведённые расходы (в том числе таможенной декларацией, приказом о командировке, проездными документами, отчётом о выполненной работе в соответствии с договором). Расходами признаются любые затраты при усло-вии, что они произведены для осуществления деятельности, направленной на получение дохода.</t>
  </si>
  <si>
    <t>Утверждено 2019 год</t>
  </si>
  <si>
    <t>Факт 2019 год</t>
  </si>
  <si>
    <t>1.3.8</t>
  </si>
  <si>
    <t>1.3.9</t>
  </si>
  <si>
    <t>1.3.10</t>
  </si>
  <si>
    <t>Экономически обоснованными в - гг. экспертами принимаются подконтрольные расходы, подтверждённые данными бухгалтерского учёта (в подтверждение представлены оборотно-сальдовые ведомости по счетам 20, 26, 91, скан-копии договоров на оказание услуг, поставку материалов, аренды и прочее, скан-копии актов оказанных услуг):</t>
  </si>
  <si>
    <t>В соответствии с проведённым анализом представленных в составе тарифного дела 0 материалов (бухгалтерская и налоговая отчётность за 2020 год, подписанные руководителем и заверенные печатью), экспертами сделан вывод о достоверности данных за 2018 год, указанных в предложениях предприятия, бухгалтерской отчётности.</t>
  </si>
  <si>
    <t>По результатам проведения экспертизы материалов дела ООО «Ульяновсэлектросеть» по установлению тарифов на услуги по передаче электрической энергии экспертами, в соответствии с Методическими указаниями от 06.08.2004 № 20-э/2 и от 17.02.2012 № 98-э, эксперты принимают необходимую валовую выручку:</t>
  </si>
  <si>
    <t>НВВ всего (без ТСО и покупки потерь)</t>
  </si>
  <si>
    <t>Корректировки необходимой валовой выручки на основе фактических данных за 2020 года</t>
  </si>
  <si>
    <t>Величина необходимой валовой выручки, обеспечивающая компенсацию экономически обоснованных расходов на осуществление деятельности по передаче электрической энергии по сетям 0 на 2020-2024 гг. составила:</t>
  </si>
  <si>
    <t>Утверждено 2023 год</t>
  </si>
  <si>
    <t>Утверждено 2024 год</t>
  </si>
  <si>
    <t>Утверждено 2025 год</t>
  </si>
  <si>
    <t>Утверждено 2026 год</t>
  </si>
  <si>
    <t>2. Целью настоящей экспертизы является определение экономически обоснованного тарифа на передачу электрической энергии по сетям  , на территории  на  2022 год</t>
  </si>
  <si>
    <t xml:space="preserve">        Согласно п. 9 Методических указаний 98-э в течение долгосрочного периода регулирования регулирующими органами ежегодно производится корректировка необходимой валовой выручки, устанавливаемой на очередной расчетный период регулирования. По решению регулирующего органа такая корректировка производится с учетом отклонения фактических значений параметров расчета тарифов по итогам истекшего периода текущего года долгосрочного регулирования, за который известны фактические значения параметров расчета тарифов, от планировавшихся значений параметров расчета тарифов, а также изменение плановых значений показателей на следующие периоды._x000D_
       В соответствии с пунктом 5 Методических указаний 98-э, тарифы на услуги по передаче электрической энергии устанавливаются на долгосрочный период регулирования, отдельно на каждый финансовый год в течение этого периода. В течение долгосрочного периода регулирования ежегодно тарифы, установленные на очередной финансовый год, корректируются.</t>
  </si>
  <si>
    <t>На территории  реализована схема</t>
  </si>
  <si>
    <t>Индексы потребительских цен на 2020-2024 годы (далее – прогнозные индексы) в соответствии с Прогнозом социально – экономического развития Российской Федерации на 2018 – 2020 годы, а также в соответствии с пунктом 7 Методических указаний № 98-э были приняты в следующих размерах:</t>
  </si>
  <si>
    <t xml:space="preserve">на 2020 – </t>
  </si>
  <si>
    <t xml:space="preserve">на 2021 – </t>
  </si>
  <si>
    <t xml:space="preserve">на 2022 – </t>
  </si>
  <si>
    <t xml:space="preserve">на 2023 – </t>
  </si>
  <si>
    <t xml:space="preserve">на 2024 – </t>
  </si>
  <si>
    <t>Индекс потребительских цен на 2022 год (далее – прогнозные индексы) _x000D_
в соответствии с Прогнозом социально – экономического развития Российской Федерации на 2022 год и плановый период 2021 - 2023 годов, а также в соответствии с пунктом 7 Методических указаний № 98-э, принят в размере –  %.</t>
  </si>
  <si>
    <t>Количество активов, планово определенное на долгосрочный период 2020-2024 годов составило, в том числе:</t>
  </si>
  <si>
    <t>ТСО предложено принять количество активов в размере  условных единиц.</t>
  </si>
  <si>
    <t>Количество активов на 2022 год определено в размере 0 условныхединиц.</t>
  </si>
  <si>
    <t>Утверждено 2018</t>
  </si>
  <si>
    <t>утверждено (заполняет ТСО) 2019</t>
  </si>
  <si>
    <t>утверждено (заполняет ТСО) 2020</t>
  </si>
  <si>
    <t>утверждено с учетом 421-э 2021</t>
  </si>
  <si>
    <t xml:space="preserve">Количество условных единиц на 2022 год по сравнению с утверждённым на 2021 год  изменилось на 0 % (0 УЕ). </t>
  </si>
  <si>
    <t>VISIBLE</t>
  </si>
  <si>
    <t>Плановая величина мощности на 2022 год составляла, в том числе:</t>
  </si>
  <si>
    <t>Заключение: величина мощности на 2022 год составит, в том числе:</t>
  </si>
  <si>
    <t>Плановая величина полезного отпуска электрической энергии на 2022 год составляла, в том числе:</t>
  </si>
  <si>
    <t>Заключение: величина полезного отпуска электрической энергии на 2022 год составит, в том числе:</t>
  </si>
  <si>
    <t>HIDDEN</t>
  </si>
  <si>
    <t>Плановая цена (тариф) покупки потерь электрической энергии на 2022 год определена в соответствии с абзацем 8 пункта 81 Основ ценообразования в размере 0 руб./МВт*ч. На 1 полугодие и 0 руб./МВт*ч. на 2 полугодие</t>
  </si>
  <si>
    <t>Подробный расчет в формате шаблона  ENERGY.CALC.NVV.TSO лист "10_Тариф" (Приложение №1 в приложении к заключению)"</t>
  </si>
  <si>
    <t>Необходимая валовая выручка на содержание электрических сетей (HBBiсод) определяется в соответствии с формулой № 2 Методических указаний 98-э исходя из суммы следующих показателей:_x000D_
a)	произведения подконтрольных расходов, учтенных в i-1 году долгосрочного периода регулирования (ПРi-1), на индекс потребительских цен, определенный на i-й год долгосрочного периода регулирования (Ii), на сумму числового значения (1) и произведения коэффициента эластичности подконтрольных расходов по количеству активов, необходимых для осуществления регулируемой деятельности, в отношении регулируемых организаций, осуществляющих передачу электрической энергии, равного 0,75 (Кэл), на отношение разности количества условных единиц в i-том (уеi) и (i-1)-ом году (уеi-1) долгосрочного периода регулирования к количеству условных единиц в i-том году долгосрочного периода регулирования (yei) на разность числового значения (1) и индекса эффективности подконтрольных расходов, устанавливаемого регулирующими органами в соответствии с методическими указаниями по определению базового уровня операционных, подконтрольных расходов территориальных сетевых организаций, необходимых для осуществления регулируемой деятельности, и индекса эффективности операционных, подконтрольных расходов с применением метода сравнения аналогов (Xi);_x000D_
b)	неподконтрольных расходов, определяемых методом экономически обоснованных расходов, для i-го года долгосрочного периода регулирования (HPi);_x000D_
c)	расходов i-го года долгосрочного периода регулирования, связанных с компенсацией незапланированных расходов (со знаком "плюс") или полученного избытка (со знаком "минус"), выявленных по итогам последнего истекшего года долгосрочного периода регулирования, за который известны фактические значения параметров расчета тарифов, связанных с необходимостью корректировки валовой выручки регулируемых организаций, указанной в пункте 9, а также расходов в соответствии с пунктом 10 Методических указаний и корректировки необходимой валовой выручки в соответствии с пунктом 32 Основ ценообразования (В1);_x000D_
d)	произведения необходимой валовой выручки на содержание электрических сетей на (i-2)-ой год долгосрочного периода регулирования (HBBi-2сод) на понижающий (повышающий) коэффициент, корректирующий необходимую валовую выручку сетевой организации с учетом надежности и качества производимых (реализуемых) товаров (услуг) в году i, определяемый в процентах в соответствии с Методическими указаниями по расчету и применению понижающих (повышающих) коэффициентов, позволяющих обеспечить соответствие уровня тарифов, установленных для организаций, осуществляющих регулируемую деятельность, уровню надежности и качества поставляемых товаров и оказываемых услуг, утвержденными приказом ФСТ России от 26 декабря 2010 г. № 254-э/1 (КНК1).</t>
  </si>
  <si>
    <t>3.1 Базовый уровень подконтрольных расходов по методу экономически обоснованных расходов (затрат)</t>
  </si>
  <si>
    <t>Плановые неподконтрольные расходы на 2022 год приняты в размере 0 тыс. руб.</t>
  </si>
  <si>
    <t>ТСО предложено принять расходы в размере 0 тыс. руб.</t>
  </si>
  <si>
    <t>Неподконтрольные расходы на 2022 год определены в размере 0 тыс. руб. (приложение к настоящему заключению) с учетом следующего:</t>
  </si>
  <si>
    <t>Пообъектный расчет аренды электросетевого хозяйства на 2022 год в формате шаблона ENERGY.CALC.NVV.TSO лист 22_Аренда ЭСХ  (Приложение №2 и в приложении к заключению) и составляет 0тыс.руб.</t>
  </si>
  <si>
    <t>Пообъектный расчет аренды прочего имущества на 2022 год в формате шаблона ENERGY.CALC.NVV.TSO лист 24_Аренда прочее им.  (Приложение №3 и в приложении к заключению) и составляет 0тыс.руб.</t>
  </si>
  <si>
    <t xml:space="preserve">Пообъектный расчет амортизации на 2022 год в формате шаблона ENERGY.CALC.NVV.TSO лист 26_Расчет амортизации  (Приложение №4 и в приложении к заключению) </t>
  </si>
  <si>
    <t>Расходы по статье были утверждены в размере 0 тыс. руб.</t>
  </si>
  <si>
    <t xml:space="preserve">Расходы по статье определены расчетным путем в размере 0 тыс. руб. с учетом приказа </t>
  </si>
  <si>
    <t>Единицы_x000D_
измерения</t>
  </si>
  <si>
    <t>2022 год, предложение организации</t>
  </si>
  <si>
    <t>2022 год, версия регулятора</t>
  </si>
  <si>
    <t>производства и поставок электрической энергии (мощности) по  на 2022 год утверждённому приказом ФАС России от</t>
  </si>
  <si>
    <t>L.COST</t>
  </si>
  <si>
    <t>L.VOLUME</t>
  </si>
  <si>
    <t>ТИП.ВЕР</t>
  </si>
  <si>
    <t>Материалы</t>
  </si>
  <si>
    <t>Машины и механизмы</t>
  </si>
  <si>
    <t>ФОТ (СПРАВОЧНО)</t>
  </si>
  <si>
    <t>Прочие (накладные) расходы</t>
  </si>
  <si>
    <t>60</t>
  </si>
  <si>
    <t>январь</t>
  </si>
  <si>
    <t>февраль</t>
  </si>
  <si>
    <t>март</t>
  </si>
  <si>
    <t>апрель</t>
  </si>
  <si>
    <t>май</t>
  </si>
  <si>
    <t>июнь</t>
  </si>
  <si>
    <t>июль</t>
  </si>
  <si>
    <t>август</t>
  </si>
  <si>
    <t>сентябрь</t>
  </si>
  <si>
    <t>октябрь</t>
  </si>
  <si>
    <t>ноябрь</t>
  </si>
  <si>
    <t>декабрь</t>
  </si>
  <si>
    <t>затраты в 1 полугодии</t>
  </si>
  <si>
    <t>затраты во 2 полугодии</t>
  </si>
  <si>
    <t>Тариф на электроэнергию</t>
  </si>
  <si>
    <t>руб./кВтч</t>
  </si>
  <si>
    <t>тариф на 1 полугодие</t>
  </si>
  <si>
    <t>тариф на 2 полугодие</t>
  </si>
  <si>
    <t>Объем</t>
  </si>
  <si>
    <t>Объем покупной электроэнергии</t>
  </si>
  <si>
    <t>тыс. кВтч</t>
  </si>
  <si>
    <t>объем в 1 полугодии</t>
  </si>
  <si>
    <t>объем во 2 полугодии</t>
  </si>
  <si>
    <t>2.0</t>
  </si>
  <si>
    <t>Тариф на электрическую мощность</t>
  </si>
  <si>
    <t>Объем покупной мощности</t>
  </si>
  <si>
    <t>МВт в мес.</t>
  </si>
  <si>
    <t>Затраты на покупку энергии</t>
  </si>
  <si>
    <t>Затраты на покупку мощности</t>
  </si>
  <si>
    <t>Добавить тип напряжения (одноставочный тариф)</t>
  </si>
  <si>
    <t>Двухставочный тариф</t>
  </si>
  <si>
    <t>Добавить тип напряжения (двухставочный тариф)</t>
  </si>
  <si>
    <t>э</t>
  </si>
  <si>
    <t>L.RATE</t>
  </si>
  <si>
    <t>Ставка за энергию</t>
  </si>
  <si>
    <t>руб./Гкал</t>
  </si>
  <si>
    <t>ставка на 1 полугодие</t>
  </si>
  <si>
    <t>ставка на 2 полугодие</t>
  </si>
  <si>
    <t>Гкал</t>
  </si>
  <si>
    <t>м</t>
  </si>
  <si>
    <t>Ставка за мощность</t>
  </si>
  <si>
    <t>тыс.руб./Гкал/ч/мес</t>
  </si>
  <si>
    <t>Гкал/ч</t>
  </si>
  <si>
    <t>мощность в 1 полугодии</t>
  </si>
  <si>
    <t>мощность во 2 полугодии</t>
  </si>
  <si>
    <t>Объем покупной энергии</t>
  </si>
  <si>
    <t>Затраты на оплату труда</t>
  </si>
  <si>
    <t>руб.</t>
  </si>
  <si>
    <t>процент выплаты</t>
  </si>
  <si>
    <t>сумма выплат</t>
  </si>
  <si>
    <t>sum</t>
  </si>
  <si>
    <t>Количество</t>
  </si>
  <si>
    <t xml:space="preserve">Рекомендации по нормированию труда работников энергетического хозяйства на основании приказа Госстроя РФ от 03.04.2000 № 68 </t>
  </si>
  <si>
    <t>Наименование функций управления</t>
  </si>
  <si>
    <t>№ раздела сборника</t>
  </si>
  <si>
    <t>Фактор влияния</t>
  </si>
  <si>
    <t>Количественное значение фактора</t>
  </si>
  <si>
    <t xml:space="preserve"> 2.1.1</t>
  </si>
  <si>
    <t>Среднесписочная численность работников предприятия</t>
  </si>
  <si>
    <t>Бухгалтерский учёт и финансовая деятельность</t>
  </si>
  <si>
    <t>Комплектование и учёт кадров</t>
  </si>
  <si>
    <t>Материально-техническое снабжение и хозяйственное обслуживание</t>
  </si>
  <si>
    <t>Контроль за капитальным ремонтом и строительством производственных объектов</t>
  </si>
  <si>
    <t>Делопроизводство</t>
  </si>
  <si>
    <t>Производственно-техническая деятельность</t>
  </si>
  <si>
    <t>Организация охраны труда и техники безопасности</t>
  </si>
  <si>
    <t>Правовое обслуживание</t>
  </si>
  <si>
    <t>Технико - экономическое планирование, организация труда и заработной платы</t>
  </si>
  <si>
    <t>1.10</t>
  </si>
  <si>
    <t xml:space="preserve">Организация сбыта, контроль за рациональным использованием энергии </t>
  </si>
  <si>
    <t>1.11</t>
  </si>
  <si>
    <t xml:space="preserve"> 2.1.2</t>
  </si>
  <si>
    <t>Количество абонентов (потребителей)</t>
  </si>
  <si>
    <t>Программное обеспечение и системное администрирование вычислительной техники</t>
  </si>
  <si>
    <t>1.12</t>
  </si>
  <si>
    <t xml:space="preserve"> 2.1.3</t>
  </si>
  <si>
    <t>Количество ПК</t>
  </si>
  <si>
    <t xml:space="preserve">Оперативно-диспетчерское обслуживание </t>
  </si>
  <si>
    <t>1.13</t>
  </si>
  <si>
    <t xml:space="preserve"> 2.1.4</t>
  </si>
  <si>
    <t>Количество УЕ</t>
  </si>
  <si>
    <t>Организация ремонтно-эксплуатационного обслуживания, средств релейной защиты, автоматики, измерений, телемеханики, электронно-информационных устройств, ис пытания защитных средств, эксплуатации средств связи</t>
  </si>
  <si>
    <t>1.14</t>
  </si>
  <si>
    <t xml:space="preserve"> 2.1.5</t>
  </si>
  <si>
    <t>Количество обслуживаемых электроподстанций, МТП, РП, ТП</t>
  </si>
  <si>
    <t>Организация ремонта силовых трансформаторов, электротехнического оборудования и масляное хозяйство</t>
  </si>
  <si>
    <t>1.15</t>
  </si>
  <si>
    <t xml:space="preserve"> 2.1.6</t>
  </si>
  <si>
    <t>Количество трансформаторов, находящихся в эксплуатации</t>
  </si>
  <si>
    <t>Организация ремонтно-эксплуатационного обслуживания оборудования, электроэнергетических устройств и сооружений</t>
  </si>
  <si>
    <t>1.16</t>
  </si>
  <si>
    <t>ССЧ рабочих участка</t>
  </si>
  <si>
    <t>Объем работы участка</t>
  </si>
  <si>
    <t>Организация ремонта электросчетчиков</t>
  </si>
  <si>
    <t>1.17</t>
  </si>
  <si>
    <t xml:space="preserve"> 2.1.9</t>
  </si>
  <si>
    <t>Количество электросчетчиков, находящихся в ремонте</t>
  </si>
  <si>
    <t>Организация изготовления изделий собственного производства (запасных частей) для ремонтных работ</t>
  </si>
  <si>
    <t>1.18</t>
  </si>
  <si>
    <t>1.19</t>
  </si>
  <si>
    <t>Протяженность</t>
  </si>
  <si>
    <t>деревянные с ж/б приставками</t>
  </si>
  <si>
    <t>ед</t>
  </si>
  <si>
    <t>Концевые кабельные заделки (воронки)</t>
  </si>
  <si>
    <t xml:space="preserve"> 2.2.3</t>
  </si>
  <si>
    <t>Мачтовые трансформаторные подстанции</t>
  </si>
  <si>
    <t xml:space="preserve"> 2.2.4</t>
  </si>
  <si>
    <t>Закрытые трансформаторные подстанции с одним трансформатором и двухсторонним питанием по высокой стороне</t>
  </si>
  <si>
    <t>Закрытые трансформаторные подстанции с двумя трансформаторами и двухсторонним питанием по высокой стороне</t>
  </si>
  <si>
    <t>2.15</t>
  </si>
  <si>
    <t>2.16</t>
  </si>
  <si>
    <t>2.17</t>
  </si>
  <si>
    <t>2.18</t>
  </si>
  <si>
    <t>2.19</t>
  </si>
  <si>
    <t>2.2.10</t>
  </si>
  <si>
    <t>Механические мастерские</t>
  </si>
  <si>
    <t>2.20</t>
  </si>
  <si>
    <t>2.2.12</t>
  </si>
  <si>
    <t>2.21</t>
  </si>
  <si>
    <t>КЛ 20-35 кВ</t>
  </si>
  <si>
    <t>КЛ 110 кВ</t>
  </si>
  <si>
    <t>КЛ 220 кВ</t>
  </si>
  <si>
    <t>501-2500</t>
  </si>
  <si>
    <t>до 500</t>
  </si>
  <si>
    <t>более 2500</t>
  </si>
  <si>
    <t>Нормативная численность</t>
  </si>
  <si>
    <t xml:space="preserve">Общее руководство   </t>
  </si>
  <si>
    <t>16.0</t>
  </si>
  <si>
    <t xml:space="preserve"> 2.1.11</t>
  </si>
  <si>
    <t>Среднесписочная численность рабочих службы (участвка)</t>
  </si>
  <si>
    <t xml:space="preserve">Итого:                                          </t>
  </si>
  <si>
    <t>Определение численности рабочих:</t>
  </si>
  <si>
    <t>Коэффициент условий эксплуатации K1</t>
  </si>
  <si>
    <t>Коэффициент K2, учитывающий трудозатраты на проезды_x000D_
для рабочих по ремонту подстанций 35*220 кВ</t>
  </si>
  <si>
    <t>ВЛ (35 кВ 1 цепь)</t>
  </si>
  <si>
    <t>железобетон</t>
  </si>
  <si>
    <t>ВЛ (35 кВ 2 цепи)</t>
  </si>
  <si>
    <t>ВЛ (110 кВ 1 цепь)</t>
  </si>
  <si>
    <t>ВЛ (110 кВ 2 цепи)</t>
  </si>
  <si>
    <t>ВЛ (220 кВ 1 цепь)</t>
  </si>
  <si>
    <t>5.4</t>
  </si>
  <si>
    <t>ВЛ (220 кВ 2 цепи)</t>
  </si>
  <si>
    <t>ВЛ (2-20 кВ)</t>
  </si>
  <si>
    <t>7.2</t>
  </si>
  <si>
    <t>7.3</t>
  </si>
  <si>
    <t>7.4</t>
  </si>
  <si>
    <t>ВЛ (до 1 кВ)</t>
  </si>
  <si>
    <t>8.3</t>
  </si>
  <si>
    <t>8.4</t>
  </si>
  <si>
    <t>КЛ до 1 кВ</t>
  </si>
  <si>
    <t xml:space="preserve"> 2.2.2</t>
  </si>
  <si>
    <t>КЛ 2-10 кВ</t>
  </si>
  <si>
    <t>Количество масляных выключателей</t>
  </si>
  <si>
    <t>Количество выключателей нагрузки и разъединителей</t>
  </si>
  <si>
    <t xml:space="preserve">Всего нормативная численность                             </t>
  </si>
  <si>
    <t>млн.кВт.ч</t>
  </si>
  <si>
    <t>4.7</t>
  </si>
  <si>
    <t>4.8</t>
  </si>
  <si>
    <t>4.9</t>
  </si>
  <si>
    <t>в том числе</t>
  </si>
  <si>
    <t>1.20</t>
  </si>
  <si>
    <t>1.21</t>
  </si>
  <si>
    <t>1.22</t>
  </si>
  <si>
    <t>1.23</t>
  </si>
  <si>
    <t>1.24</t>
  </si>
  <si>
    <t>1.25</t>
  </si>
  <si>
    <t>1.26</t>
  </si>
  <si>
    <t>1.27</t>
  </si>
  <si>
    <t>1.28</t>
  </si>
  <si>
    <t>1.29</t>
  </si>
  <si>
    <t>1.30</t>
  </si>
  <si>
    <t>1.31</t>
  </si>
  <si>
    <t>1.32</t>
  </si>
  <si>
    <t>1.33</t>
  </si>
  <si>
    <t>Прибыль на развитие производства</t>
  </si>
  <si>
    <t>всего</t>
  </si>
  <si>
    <t>Расчет</t>
  </si>
  <si>
    <t>COMS_ADD_RANGE</t>
  </si>
  <si>
    <t>LIST_LEASING_ESX_FACT_ADD_RANGE</t>
  </si>
  <si>
    <t>NPR_ADD_RANGE</t>
  </si>
  <si>
    <t>НПР</t>
  </si>
  <si>
    <t>CALC_NVV_ADD_RANGE</t>
  </si>
  <si>
    <t xml:space="preserve">Расчет НВВ </t>
  </si>
  <si>
    <t>LOSSES_ADD_RANGE</t>
  </si>
  <si>
    <t>LIST_PROCEEDS_FACT_ADD_DOC_RANGE</t>
  </si>
  <si>
    <t>38_товарная выручка факт</t>
  </si>
  <si>
    <t>LIST_PROCEEDS_FACT_ADD_RANGE</t>
  </si>
  <si>
    <t>Добавить акт</t>
  </si>
  <si>
    <t>Итого по договору 1 полугодие</t>
  </si>
  <si>
    <t>Итого по договору 2 полугодие</t>
  </si>
  <si>
    <t>Итого по договору</t>
  </si>
  <si>
    <t>LIST_CREDIT_ADD_RANGE</t>
  </si>
  <si>
    <t>44_кредиты</t>
  </si>
  <si>
    <t>PROFIT_ADD_RANGE</t>
  </si>
  <si>
    <t>LIST_NO_CONTRACT_ADD_RANGE</t>
  </si>
  <si>
    <t>EE_ADD_RANGE_PROVIDER</t>
  </si>
  <si>
    <t>+</t>
  </si>
  <si>
    <t>EE_ADD_RANGE_SINGLE_TARIFF</t>
  </si>
  <si>
    <t>EE_ADD_RANGE_DOUBLE_TARIFF</t>
  </si>
  <si>
    <t>TE_COSTS_ADD_RANGE</t>
  </si>
  <si>
    <t>з - 1</t>
  </si>
  <si>
    <t>з - 2</t>
  </si>
  <si>
    <t>TRANSPORT_TAX_ADD_RANGE</t>
  </si>
  <si>
    <t>FOT_NORM_ADD_RANGE_1</t>
  </si>
  <si>
    <t>Фот норм</t>
  </si>
  <si>
    <t>FOT_NORM_ADD_RANGE_2</t>
  </si>
  <si>
    <t>FORMA_3_1_ADD_RANGE</t>
  </si>
  <si>
    <t>FORMA_3_1_POWER_ADD_RANGE</t>
  </si>
  <si>
    <t>RPR_REMONT_ADD_RANGE</t>
  </si>
  <si>
    <t>RPR_REMONT_ADD_RANGE_2</t>
  </si>
  <si>
    <t>PPR_REMONT_ADD_RANGE</t>
  </si>
  <si>
    <t>MATERIAL_ADD_RANGE</t>
  </si>
  <si>
    <t>LIST_RENT_ESX_FACT_ADD_RANGE</t>
  </si>
  <si>
    <t>LIST_RENT_OTHER_ADD_RANGE</t>
  </si>
  <si>
    <t>RENT_OTHER_ADD_RANGE_4</t>
  </si>
  <si>
    <t>CALC_AMORT_ADD_RANGE</t>
  </si>
  <si>
    <t>NALOG_ADD_RANGE</t>
  </si>
  <si>
    <t>FACT_PO_ADD_RANGE_1</t>
  </si>
  <si>
    <t>тыс.МВт*ч</t>
  </si>
  <si>
    <t>FACT_PO_ADD_RANGE_1_1</t>
  </si>
  <si>
    <t xml:space="preserve"> руб/МВт.ч</t>
  </si>
  <si>
    <t>FACT_PO_ADD_RANGE_1_2</t>
  </si>
  <si>
    <t>FACT_PO_ADD_RANGE_2</t>
  </si>
  <si>
    <t>электроэнергия</t>
  </si>
  <si>
    <t>мощность, МВт</t>
  </si>
  <si>
    <t>FACT_PO_ADD_RANGE_2_1</t>
  </si>
  <si>
    <t xml:space="preserve"> руб/МВт</t>
  </si>
  <si>
    <t>FACT_PO_ADD_RANGE_2_2</t>
  </si>
  <si>
    <t>PLAN_PO_ADD_RANGE_1</t>
  </si>
  <si>
    <t>Структура ПО_PLAN</t>
  </si>
  <si>
    <t>PLAN_PO_ADD_RANGE_1_1</t>
  </si>
  <si>
    <t>PLAN_PO_ADD_RANGE_1_2</t>
  </si>
  <si>
    <t>PLAN_PO_ADD_RANGE_2</t>
  </si>
  <si>
    <t>PLAN_PO_ADD_RANGE_2_1</t>
  </si>
  <si>
    <t>PLAN_PO_ADD_RANGE_2_2</t>
  </si>
  <si>
    <t>ISU_F_ADD_RANGE</t>
  </si>
  <si>
    <t>ISU_P_ADD_RANGE</t>
  </si>
  <si>
    <t>DATA_REG_MEMBER_ADD_RANGE</t>
  </si>
  <si>
    <t>DATA_REG_OTHER_ADD_RANGE</t>
  </si>
  <si>
    <t>DOC_ADD_RANGE</t>
  </si>
  <si>
    <t>PRIL_1_215_ADD_RANGE_1</t>
  </si>
  <si>
    <t>PRIL_1_215_ADD_RANGE_2</t>
  </si>
  <si>
    <t>PRIL_1_215_ADD_RANGE_3</t>
  </si>
  <si>
    <t>PRIL_1_215_ADD_RANGE_4</t>
  </si>
  <si>
    <t>PRIL_1_215_ADD_RANGE_5</t>
  </si>
  <si>
    <t>PRIL_1_215_ADD_RANGE_6</t>
  </si>
  <si>
    <t>PRIL_1_215_ADD_RANGE_7</t>
  </si>
  <si>
    <t>PRIL_3_215_ADD_RANGE_1</t>
  </si>
  <si>
    <t>PRIL_3_215_ADD_RANGE_2</t>
  </si>
  <si>
    <t>PRIL_3_215_ADD_RANGE_3</t>
  </si>
  <si>
    <t>PRIL_3_215_ADD_RANGE_4</t>
  </si>
  <si>
    <t>PRIL_3_215_ADD_RANGE_5</t>
  </si>
  <si>
    <t>PRIL_3_215_ADD_RANGE_6</t>
  </si>
  <si>
    <t>FOT_NORM_ADD_RANGE</t>
  </si>
  <si>
    <t>LIST_STAFF_ADD_RANGE</t>
  </si>
  <si>
    <t>прочие</t>
  </si>
  <si>
    <t>L.EARNINGS</t>
  </si>
  <si>
    <t>Ставка</t>
  </si>
  <si>
    <t>Расходы</t>
  </si>
  <si>
    <t>расчет</t>
  </si>
  <si>
    <t>размера расходов, связанных с осуществлением технологического присоединения энергопринимающих</t>
  </si>
  <si>
    <t>устройств максимальной мощностью, не превышающей 15 кВт включительно,</t>
  </si>
  <si>
    <t>объектов микрогенерации не включаемых в состав платы за технологическое присоединение</t>
  </si>
  <si>
    <t>расчетные</t>
  </si>
  <si>
    <t>Расходы, принимаемые в расчет</t>
  </si>
  <si>
    <t>Доходы</t>
  </si>
  <si>
    <t>выпадающие утверждено</t>
  </si>
  <si>
    <t>невозмещенные</t>
  </si>
  <si>
    <t>2023/2024</t>
  </si>
  <si>
    <t>2024/2025</t>
  </si>
  <si>
    <t>выпадающие расчетные с ИПЦ</t>
  </si>
  <si>
    <t>Выпадающие расходы, принимаемые в расчет, с учетом ИПЦ</t>
  </si>
  <si>
    <t>выпадающие план</t>
  </si>
  <si>
    <t>Фактические данные за предыдущий период регулирования</t>
  </si>
  <si>
    <t>Расчетные (фактические) данные за предыдущий период регулирования</t>
  </si>
  <si>
    <t>Плановые показатели на следующий</t>
  </si>
  <si>
    <t>ставка платы (руб./кВт,руб./км,  руб./шт., рублей за точку учета)</t>
  </si>
  <si>
    <t>мощность, длина линий, количество (кВт, км, шт., точек учета)</t>
  </si>
  <si>
    <t>расходы на строительство объекта, на обеспечение средствами коммерческого учета электрической энергии (тыс. руб.)</t>
  </si>
  <si>
    <t>стандарт, тариф, ставка (руб./кВт, руб./км, руб./шт., рублей за точку учета)</t>
  </si>
  <si>
    <t xml:space="preserve"> организационно-технические мероприятия</t>
  </si>
  <si>
    <t>Расходы на выполнение организационнотехнических мероприятий, связанные с осуществлением технологического присоединения [пункт 1.1+пункт 1.2.1+пункт 1.2.2]:</t>
  </si>
  <si>
    <t>ту</t>
  </si>
  <si>
    <t>Подготовка и выдача сетевой организацией технических условий (ТУ) Заявителю, на уровне напряжения i и (или) диапазоне мощности j</t>
  </si>
  <si>
    <t>уведомление</t>
  </si>
  <si>
    <t>1.2.1.</t>
  </si>
  <si>
    <t>Выдача сетевой организацией уведомления об обеспечении сетевой организацией возможности присоединения к электрическим сетям</t>
  </si>
  <si>
    <t>проверка</t>
  </si>
  <si>
    <t>1.2.2.</t>
  </si>
  <si>
    <t>Проверка выполнения технических условий</t>
  </si>
  <si>
    <t>последняя миля</t>
  </si>
  <si>
    <t>Расходы по мероприятиям «последней мили» и расходы на обеспечение средствами коммерческого учета электрической энергии, связанные с осуществлением технологического присоединения</t>
  </si>
  <si>
    <t>строительство воздушных линий, итого</t>
  </si>
  <si>
    <t>Строительство воздушных линий</t>
  </si>
  <si>
    <t>строительство воздушных линий, детали</t>
  </si>
  <si>
    <t>строительство кабельных линий, итого</t>
  </si>
  <si>
    <t>Строительство кабельных линий</t>
  </si>
  <si>
    <t>строительство кабельных линий, детали</t>
  </si>
  <si>
    <t>строительство пунктов секционирования, итого</t>
  </si>
  <si>
    <t>Строительство пунктов секционирования</t>
  </si>
  <si>
    <t>строительство пунктов секционирования, детали</t>
  </si>
  <si>
    <t>строительство ТП 35, итого</t>
  </si>
  <si>
    <t>Строительство трансформаторных подстанций (ТП), за исключением распределительных трансформаторных подстанций (РТП), с уровнем напряжения до 35 кВ</t>
  </si>
  <si>
    <t>строительство ТП 35, детали</t>
  </si>
  <si>
    <t>строительство РТП 35, итого</t>
  </si>
  <si>
    <t>Строительство распределительных трансформаторных подстанций (РТП) с уровнем напряжения до 35 кВ</t>
  </si>
  <si>
    <t>строительство РТП 35, детали</t>
  </si>
  <si>
    <t>строительство ЦП 35, итого</t>
  </si>
  <si>
    <t>Строительство центров питания, подстанций уровнем напряжения 35 кВ и выше (ПС)</t>
  </si>
  <si>
    <t>строительство ЦП 35, детали</t>
  </si>
  <si>
    <t>обеспечение ку, итого</t>
  </si>
  <si>
    <t>8(1)</t>
  </si>
  <si>
    <t>Обеспечение средствами коммерческого учета электрической энергии (мощности)</t>
  </si>
  <si>
    <t>обеспечение ку, детали</t>
  </si>
  <si>
    <t>микрогенерация до 15</t>
  </si>
  <si>
    <t>9.</t>
  </si>
  <si>
    <t>Суммарный размер платы за технологическое присоединение заявителей, подавших заявку в целях технологического присоединения энергопринимающих устройств максимальной мощности, не превышающей 15 кВт включительно, объектов микрогенерации (руб. без НДС)</t>
  </si>
  <si>
    <t xml:space="preserve"> Размер расходов, связанных с осуществлением технологического с осуществлением технологического присоединения к электрическим сетям, не включаемых в состав платы за технологическое присоединение (п. 1+п. 2–п. 9)</t>
  </si>
  <si>
    <t>размера расходов, связанных с осуществлением технологического присоединения к электрическим сетям</t>
  </si>
  <si>
    <t>энергопринимающих устройств максимальной мощностью до 150 кВт включительно,</t>
  </si>
  <si>
    <t>не включаемых в состав платы за технологическое присоединение</t>
  </si>
  <si>
    <t>Расчетные (фактические) данные период регулирования</t>
  </si>
  <si>
    <t>Плановые показатели на следующий период регулирования</t>
  </si>
  <si>
    <t>1.</t>
  </si>
  <si>
    <t>Расходы по мероприятиям «последней мили», связанные с осуществлением технологического присоединения к электрическим сетям, не включаемые в плату за технологическое присоединение [пункт 2+пункт 3+пункт 4+пункт 5+пункт 6+пункт 7]:</t>
  </si>
  <si>
    <t>2.</t>
  </si>
  <si>
    <t>5.</t>
  </si>
  <si>
    <t>6.</t>
  </si>
  <si>
    <t>Расчет предельных уровней</t>
  </si>
  <si>
    <t xml:space="preserve">Индекс потребительских цен (ИПЦ) </t>
  </si>
  <si>
    <t>Покупная энергия на компенсацию потерь без учета потерь ФСК</t>
  </si>
  <si>
    <t xml:space="preserve">объем потерь в сетях </t>
  </si>
  <si>
    <t>тариф покупки</t>
  </si>
  <si>
    <t>коп/кВт.ч</t>
  </si>
  <si>
    <t>С п.п.3 по 15 заполняется по организациям регулируемым по методу экономически обоснованных расходов и по методу индексации на 1 год</t>
  </si>
  <si>
    <t>Энергия на хозяйственные нужды</t>
  </si>
  <si>
    <t>на ремонтную программу</t>
  </si>
  <si>
    <t>Амортизация основных фондов</t>
  </si>
  <si>
    <t>Прочие затраты всего</t>
  </si>
  <si>
    <t>Ремонтная программа, кроме оплаты труда и отчислений на социальные нужды</t>
  </si>
  <si>
    <t>Другие затраты, относимые на себестоимость продукции, всего</t>
  </si>
  <si>
    <t>Итого затрат по организации регулируемой по методу экономически обоснованных расходов или по методу индексации на 1 год</t>
  </si>
  <si>
    <t>Недополученный по независящим причинам доход</t>
  </si>
  <si>
    <t>потери по нерегулируемым ценам</t>
  </si>
  <si>
    <t>льготное технологическое присоединение</t>
  </si>
  <si>
    <t>Избыток средств, полученный в предыдущем периоде регулирования</t>
  </si>
  <si>
    <t>Себестоимость товарной продукции по организации регулируемой по методу экономически обоснованных расходов или по методу индексации на 1 год</t>
  </si>
  <si>
    <t>12.1</t>
  </si>
  <si>
    <t>капитальные вложения (без учета налогов)</t>
  </si>
  <si>
    <t>Налоги, сборы, платежи - всего</t>
  </si>
  <si>
    <t>Валовая прибыль по организации  регулируемой по методу экономически обоснованных расходов или по методу индексации на 1 год</t>
  </si>
  <si>
    <t>С п.п.23 по 27 заполняется по организациям регулируемым по методу индексации на долгосрочной основе</t>
  </si>
  <si>
    <t>Неподконтрольные расходы (за исключением платы ФСК, амортизации ОС и прибыли на капитальные вложения)</t>
  </si>
  <si>
    <t>23.1</t>
  </si>
  <si>
    <t>величина расходов на выполнение предусмотренных пунктом 5 статьи 37 Федерального закона "Об электроэнергетике" обязанностей сетевой организации по обеспечению коммерческого учета электрической энергии (мощности), относящихся к капитальным вложениям</t>
  </si>
  <si>
    <t>Операционные (подконтрольные ) расходы</t>
  </si>
  <si>
    <t>24.1</t>
  </si>
  <si>
    <t>24.1.1</t>
  </si>
  <si>
    <t>24.2</t>
  </si>
  <si>
    <t>Ремонтная программа без учета оплаты труда и ЕСН</t>
  </si>
  <si>
    <t>Выпадающие доходы (за исключением выпадающих доходов по п.87 Основ ценообразования)</t>
  </si>
  <si>
    <t>Экономия расходов на оплату потерь электрической энергии, полученная сетевой организацией при осуществлении деятельности по передаче электрической энергии в результате проведения мероприятий по сокращению объема используемых энергетических ресурсов, определяемая в соответствии с пунктом 34(2) - 34(3) Основ ценообразования</t>
  </si>
  <si>
    <t>27.1</t>
  </si>
  <si>
    <t>27.1.1</t>
  </si>
  <si>
    <t>Товарная продукция на 1 год</t>
  </si>
  <si>
    <t>Товарная продукция</t>
  </si>
  <si>
    <t>29.1</t>
  </si>
  <si>
    <t>расходы на реализацию инвестиционной программы (с налогами)</t>
  </si>
  <si>
    <t>29.1.1</t>
  </si>
  <si>
    <t>инвестиционная программа</t>
  </si>
  <si>
    <t>29.1.2</t>
  </si>
  <si>
    <t>налог на прибыль</t>
  </si>
  <si>
    <t>Полезный отпуск потребителям</t>
  </si>
  <si>
    <t>30.1</t>
  </si>
  <si>
    <t>справочно: генераторное напряжение</t>
  </si>
  <si>
    <t>Средний тариф с учетом ГН</t>
  </si>
  <si>
    <t>Стоимость обслуживания у.е.</t>
  </si>
  <si>
    <t>Доля "в котле"</t>
  </si>
  <si>
    <t>ИТОГО НВВ</t>
  </si>
  <si>
    <t>PEREDACHA.FACT.EXPENSES</t>
  </si>
  <si>
    <t>План/факт</t>
  </si>
  <si>
    <t>Расчет подконтрольных расходов</t>
  </si>
  <si>
    <t>Выручка организации, полученная от услуг по передаче электрической энергии</t>
  </si>
  <si>
    <t xml:space="preserve"> Итого НВВ с расчетного листа</t>
  </si>
  <si>
    <t>Инфляция</t>
  </si>
  <si>
    <t>в том числе: мероприятий в соответсвии с программой в области энергосбережения и повышения энергетической эффективности организаций, осуществляющих регулируемые виды деятельности</t>
  </si>
  <si>
    <t>Иные неподконтрольные расходы</t>
  </si>
  <si>
    <t>Оплата услуг ОАО "ФСК ЕЭС"_x000D_
1 полугодие</t>
  </si>
  <si>
    <t>Оплата услуг ОАО "ФСК ЕЭС"_x000D_
2 полугодие</t>
  </si>
  <si>
    <t>Факт ТСО</t>
  </si>
  <si>
    <t>Экономически-обоснованный факт, признанный РЭК</t>
  </si>
  <si>
    <t>Факт, признанный РЭК</t>
  </si>
  <si>
    <t>МИН</t>
  </si>
  <si>
    <t>Расчет НВВ методом индексации</t>
  </si>
  <si>
    <t>Доля стороннего отпуска в сеть от организаций, занимающихся несколькими видами деятельности (без собственных нужд)</t>
  </si>
  <si>
    <t>Отношение НВВ на содержание сетей текущего года к предыдущему года</t>
  </si>
  <si>
    <t>Поступление в сеть электроэнергии</t>
  </si>
  <si>
    <t>Объем технологического расхода (потерь)</t>
  </si>
  <si>
    <t xml:space="preserve">Тариф на покупку потерь </t>
  </si>
  <si>
    <t xml:space="preserve">Норматив техноло-гического расхода (потерь) электро-энергии </t>
  </si>
  <si>
    <t>Прирост расходов на оплату потерь текущего года к предыдущему году</t>
  </si>
  <si>
    <t>Поступление в сеть мощности</t>
  </si>
  <si>
    <t>Количество активов, всего</t>
  </si>
  <si>
    <t>период</t>
  </si>
  <si>
    <t>слияние</t>
  </si>
  <si>
    <t>НВВ на 1 полугодие</t>
  </si>
  <si>
    <t>НВВ на 2 полугодие</t>
  </si>
  <si>
    <t>расходы на 1 полугодие</t>
  </si>
  <si>
    <t>расходы на 2 полугодие</t>
  </si>
  <si>
    <t>А</t>
  </si>
  <si>
    <t>Б</t>
  </si>
  <si>
    <t>0.1</t>
  </si>
  <si>
    <t>0.2</t>
  </si>
  <si>
    <t>0.3</t>
  </si>
  <si>
    <t>0.3.1</t>
  </si>
  <si>
    <t>0.3.2</t>
  </si>
  <si>
    <t>0.3.3</t>
  </si>
  <si>
    <t>0.3.4</t>
  </si>
  <si>
    <t>0.4</t>
  </si>
  <si>
    <t>0.5</t>
  </si>
  <si>
    <t>0.6</t>
  </si>
  <si>
    <t>РПП</t>
  </si>
  <si>
    <t>11.1</t>
  </si>
  <si>
    <t>11.2</t>
  </si>
  <si>
    <t>план</t>
  </si>
  <si>
    <t>enable</t>
  </si>
  <si>
    <t>link1</t>
  </si>
  <si>
    <t>link2</t>
  </si>
  <si>
    <t>message</t>
  </si>
  <si>
    <t>isError</t>
  </si>
  <si>
    <t>status</t>
  </si>
  <si>
    <t>Условие включения проверки</t>
  </si>
  <si>
    <t>Ссылка на ячейки( в описании ошибки)</t>
  </si>
  <si>
    <t>Ссылка на ячейки( в описании ошибки2)</t>
  </si>
  <si>
    <t>Текст с ошибкой</t>
  </si>
  <si>
    <t>Тип ошибки</t>
  </si>
  <si>
    <t>Поступление э/э в сеть за 1 пг в П1.4 должно быть равно сумме поступлений за 6 мес. в Форме 3.1 (Факт). Точность - 2 знака после запятой.</t>
  </si>
  <si>
    <t>Ошибка</t>
  </si>
  <si>
    <t>Поступление э/э в сеть за 2 пг в П1.4 должно быть равно сумме поступлений за 6 мес. в Форме 3.1 (Факт). Точность - 2 знака после запятой.</t>
  </si>
  <si>
    <t>Поступление э/э в сеть за год в П1.4 должно быть равно сумме поступлений за 12 мес. в Форме 3.1 (Факт). Точность - 2 знака после запятой.</t>
  </si>
  <si>
    <t>Поступление э/э в сеть за год в П1.4 должно быть равно сумме поступлений за 12 мес. в Форме 3.1 (План). Точность - 2 знака после запятой.</t>
  </si>
  <si>
    <t>Поступление э/э в сеть за 1 пг в П1.4 должно быть равно сумме поступлений за 6 мес. в Форме 3.1 (План). Точность - 2 знака после запятой.</t>
  </si>
  <si>
    <t>Поступление э/э в сеть за 2 пг в П1.4 должно быть равно сумме поступлений за 6 мес. в Форме 3.1 (План). Точность - 2 знака после запятой.</t>
  </si>
  <si>
    <t>Потери э/э за 1 пг в П1.4 должны быть равны сумме потерь за 6 мес. в Форме 3.1 (Факт). Точность - 2 знака после запятой.</t>
  </si>
  <si>
    <t>Потери э/э за 2 пг в П1.4 должны быть равны сумме потерь за 6 мес. в Форме 3.1 (Факт). Точность - 2 знака после запятой.</t>
  </si>
  <si>
    <t>Потери э/э за год в П1.4 должны быть равны сумме потерь за 12 мес. в Форме 3.1 (Факт). Точность - 2 знака после запятой.</t>
  </si>
  <si>
    <t>Потери э/э за год в П1.4 должны быть равны сумме потерь за 12 мес. в Форме 3.1 (План). Точность - 2 знака после запятой.</t>
  </si>
  <si>
    <t>Потери э/э в за 1 пг в П1.4 должны быть равно сумме потерь за 6 мес. в Форме 3.1 (Факт). Точность - 2 знака после запятой.</t>
  </si>
  <si>
    <t>Полезный отпуск э/э за 1 пг в П1.4 должен быть равен сумме полезного отпуска за 6 мес. в Форме 3.1 (Факт). Точность - 2 знака после запятой.</t>
  </si>
  <si>
    <t>Полезный отпуск э/э за 2 пг в П1.4 должен быть равен сумме полезного отпуска за 6 мес. в Форме 3.1 (Факт). Точность - 2 знака после запятой.</t>
  </si>
  <si>
    <t>Полезный отпуск э/э за год в П1.4 должен быть равен сумме полезного отпуска за 12 мес. в Форме 3.1 (Факт). Точность - 2 знака после запятой.</t>
  </si>
  <si>
    <t>Полезный отпуск э/э за год в П1.4 должен быть равен сумме полезного отпуска за 12 мес. в Форме 3.1 (План). Точность - 2 знака после запятой.</t>
  </si>
  <si>
    <t>Полезный отпуск э/э в за 1 пг в П1.4 должны быть равно сумме полезного отпуска за 6 мес. в Форме 3.1 (Факт). Точность - 2 знака после запятой.</t>
  </si>
  <si>
    <t>1.34</t>
  </si>
  <si>
    <t>1.35</t>
  </si>
  <si>
    <t>1.36</t>
  </si>
  <si>
    <t>1.37</t>
  </si>
  <si>
    <t>1.38</t>
  </si>
  <si>
    <t>1.39</t>
  </si>
  <si>
    <t>1.40</t>
  </si>
  <si>
    <t>Полезный отпуск э/э за 1 пг в П1.4 должен быть равен сумме полезного отпуска и расхода электроэнергии на производственные и хозяйственные нужды за 6 мес. в Форме 3.1 (Факт). Точность - 2 знака после запятой.</t>
  </si>
  <si>
    <t>Полезный отпуск э/э за 2 пг в П1.4 должен быть равен сумме полезного отпуска и расхода электроэнергии на производственные и хозяйственные нужды за 6 мес. в Форме 3.1 (Факт). Точность - 2 знака после запятой.</t>
  </si>
  <si>
    <t>Полезный отпуск э/э за год в П1.4 должен быть равен сумме полезного отпуска и расхода электроэнергии на производственные и хозяйственные нужды за 12 мес. в Форме 3.1 (Факт). Точность - 2 знака после запятой.</t>
  </si>
  <si>
    <t>Полезный отпуск э/э за год в П1.4 должен быть равен сумме полезного отпуска и расхода электроэнергии на производственные и хозяйственные нужды за 12 мес. в Форме 3.1 (План). Точность - 2 знака после запятой.</t>
  </si>
  <si>
    <t>Полезный отпуск э/э в за 1 пг в П1.4 должны быть равно сумме полезного отпуска и расхода электроэнергии на производственные и хозяйственные нужды за 6 мес. в Форме 3.1 (Факт). Точность - 2 знака после запятой.</t>
  </si>
  <si>
    <t>1.41</t>
  </si>
  <si>
    <t>Поступление э/э в сеть за год в П1.4 должно быть равно поступлению э/э за год в П1.30. Точность - 2 знака после запятой.</t>
  </si>
  <si>
    <t>1.42</t>
  </si>
  <si>
    <t>Поступление э/э в сеть за год по ВН в П1.4 должно быть равно поступлению э/э за год по ВН в П1.30. Точность - 2 знака после запятой.</t>
  </si>
  <si>
    <t>1.43</t>
  </si>
  <si>
    <t>Поступление э/э в сеть за год по СН1 в П1.4 должно быть равно поступлению э/э за год по СН1 в П1.30. Точность - 2 знака после запятой.</t>
  </si>
  <si>
    <t>1.44</t>
  </si>
  <si>
    <t>Поступление э/э в сеть за год по СН2 в П1.4 должно быть равно поступлению э/э за год по СН2 в П1.30. Точность - 2 знака после запятой.</t>
  </si>
  <si>
    <t>1.45</t>
  </si>
  <si>
    <t>Поступление э/э в сеть за год по НН в П1.4 должно быть равно поступлению э/э за год по НН в П1.30. Точность - 2 знака после запятой.</t>
  </si>
  <si>
    <t>1.46</t>
  </si>
  <si>
    <t>Поступление э/э в сеть за 1 полугодие в П1.4 должно быть равно поступлению э/э за 1 полугодие в П1.30. Точность - 2 знака после запятой.</t>
  </si>
  <si>
    <t>1.47</t>
  </si>
  <si>
    <t>Поступление э/э в сеть за 1 полугодие по ВН в П1.4 должно быть равно поступлению э/э за 1 полугодие по ВН в П1.30. Точность - 2 знака после запятой.</t>
  </si>
  <si>
    <t>1.48</t>
  </si>
  <si>
    <t>Поступление э/э в сеть за 1 полугодие по СН1 в П1.4 должно быть равно поступлению э/э за 1 полугодие по СН1 в П1.30. Точность - 2 знака после запятой.</t>
  </si>
  <si>
    <t>1.49</t>
  </si>
  <si>
    <t>Поступление э/э в сеть за 1 полугодие по СН2 в П1.4 должно быть равно поступлению э/э за 1 полугодие по СН2 в П1.30. Точность - 2 знака после запятой.</t>
  </si>
  <si>
    <t>1.50</t>
  </si>
  <si>
    <t>Поступление э/э в сеть за 1 полугодие по НН в П1.4 должно быть равно поступлению э/э за 1 полугодие по НН в П1.30. Точность - 2 знака после запятой.</t>
  </si>
  <si>
    <t>1.51</t>
  </si>
  <si>
    <t>Поступление э/э в сеть за 2 полугодие в П1.4 должно быть равно поступлению э/э за 2 полугодие в П1.30. Точность - 2 знака после запятой.</t>
  </si>
  <si>
    <t>1.52</t>
  </si>
  <si>
    <t>Поступление э/э в сеть за 2 полугодие по ВН в П1.4 должно быть равно поступлению э/э за 2 полугодие по ВН в П1.30. Точность - 2 знака после запятой.</t>
  </si>
  <si>
    <t>1.53</t>
  </si>
  <si>
    <t>Поступление э/э в сеть за 2 полугодие по СН1 в П1.4 должно быть равно поступлению э/э за 2 полугодие по СН1 в П1.30. Точность - 2 знака после запятой.</t>
  </si>
  <si>
    <t>1.54</t>
  </si>
  <si>
    <t>Поступление э/э в сеть за 2 полугодие по СН2 в П1.4 должно быть равно поступлению э/э за 2 полугодие по СН2 в П1.30. Точность - 2 знака после запятой.</t>
  </si>
  <si>
    <t>1.55</t>
  </si>
  <si>
    <t>Поступление э/э в сеть за 2 полугодие по НН в П1.4 должно быть равно поступлению э/э за 2 полугодие по НН в П1.30. Точность - 2 знака после запятой.</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</si>
  <si>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</si>
  <si>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</si>
  <si>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</si>
  <si>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</si>
  <si>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</si>
  <si>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</si>
  <si>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</si>
  <si>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</si>
  <si>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</si>
  <si>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</si>
  <si>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</si>
  <si>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</si>
  <si>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</si>
  <si>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</si>
  <si>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</si>
  <si>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</si>
  <si>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</si>
  <si>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</si>
  <si>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</si>
  <si>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</si>
  <si>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</si>
  <si>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</si>
  <si>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</si>
  <si>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</si>
  <si>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</si>
  <si>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</si>
  <si>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</si>
  <si>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</si>
  <si>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</si>
  <si>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</si>
  <si>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</si>
  <si>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</si>
  <si>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</si>
  <si>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</si>
  <si>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</si>
  <si>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</si>
  <si>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</si>
  <si>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</si>
  <si>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</si>
  <si>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</si>
  <si>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Потери э/э в сеть за год в П1.4 должно быть равно потерям э/э за год в П1.30. Точность - 2 знака после запятой.</t>
  </si>
  <si>
    <t>1.96</t>
  </si>
  <si>
    <t>Потери э/э в сеть за год по ВН в П1.4 должно быть равно потерям э/э за год по ВН в П1.30. Точность - 2 знака после запятой.</t>
  </si>
  <si>
    <t>1.97</t>
  </si>
  <si>
    <t>Потери э/э в сеть за год по СН1 в П1.4 должно быть равно потерям э/э за год по СН1 в П1.30. Точность - 2 знака после запятой.</t>
  </si>
  <si>
    <t>1.98</t>
  </si>
  <si>
    <t>Потери э/э в сеть за год по СН2 в П1.4 должно быть равно потерям э/э за год по СН2 в П1.30. Точность - 2 знака после запятой.</t>
  </si>
  <si>
    <t>1.99</t>
  </si>
  <si>
    <t>Потери э/э в сеть за год по НН в П1.4 должно быть равно потерям э/э за год по НН в П1.30. Точность - 2 знака после запятой.</t>
  </si>
  <si>
    <t>1.100</t>
  </si>
  <si>
    <t>Потери э/э в сеть за 1 полугодие в П1.4 должно быть равно потерям э/э за 1 полугодие в П1.30. Точность - 2 знака после запятой.</t>
  </si>
  <si>
    <t>1.101</t>
  </si>
  <si>
    <t>Потери э/э в сеть за 1 полугодие по ВН в П1.4 должно быть равно потерям э/э за 1 полугодие по ВН в П1.30. Точность - 2 знака после запятой.</t>
  </si>
  <si>
    <t>1.102</t>
  </si>
  <si>
    <t>Потери э/э в сеть за 1 полугодие по СН1 в П1.4 должно быть равно потерям э/э за 1 полугодие по СН1 в П1.30. Точность - 2 знака после запятой.</t>
  </si>
  <si>
    <t>1.103</t>
  </si>
  <si>
    <t>Потери э/э в сеть за 1 полугодие по СН2 в П1.4 должно быть равно потерям э/э за 1 полугодие по СН2 в П1.30. Точность - 2 знака после запятой.</t>
  </si>
  <si>
    <t>1.104</t>
  </si>
  <si>
    <t>Потери э/э в сеть за 1 полугодие по НН в П1.4 должно быть равно потерям э/э за 1 полугодие по НН в П1.30. Точность - 2 знака после запятой.</t>
  </si>
  <si>
    <t>1.105</t>
  </si>
  <si>
    <t>Потери э/э в сеть за 2 полугодие в П1.4 должно быть равно потерям э/э за 2 полугодие в П1.30. Точность - 2 знака после запятой.</t>
  </si>
  <si>
    <t>1.106</t>
  </si>
  <si>
    <t>Потери э/э в сеть за 2 полугодие по ВН в П1.4 должно быть равно потерям э/э за 2 полугодие по ВН в П1.30. Точность - 2 знака после запятой.</t>
  </si>
  <si>
    <t>1.107</t>
  </si>
  <si>
    <t>Потери э/э в сеть за 2 полугодие по СН1 в П1.4 должно быть равно потерям э/э за 2 полугодие по СН1 в П1.30. Точность - 2 знака после запятой.</t>
  </si>
  <si>
    <t>1.108</t>
  </si>
  <si>
    <t>Потери э/э в сеть за 2 полугодие по СН2 в П1.4 должно быть равно потерям э/э за 2 полугодие по СН2 в П1.30. Точность - 2 знака после запятой.</t>
  </si>
  <si>
    <t>1.109</t>
  </si>
  <si>
    <t>Потери э/э в сеть за 2 полугодие по НН в П1.4 должно быть равно потерям э/э за 2 полугодие по НН в П1.30. Точность - 2 знака после запятой.</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</si>
  <si>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</si>
  <si>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</si>
  <si>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</si>
  <si>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</si>
  <si>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</si>
  <si>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</si>
  <si>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</si>
  <si>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</si>
  <si>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</si>
  <si>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</si>
  <si>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</si>
  <si>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</si>
  <si>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</si>
  <si>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</si>
  <si>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</si>
  <si>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</si>
  <si>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</si>
  <si>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</si>
  <si>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</si>
  <si>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</si>
  <si>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</si>
  <si>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</si>
  <si>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</si>
  <si>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</si>
  <si>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</si>
  <si>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</si>
  <si>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</si>
  <si>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</si>
  <si>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</si>
  <si>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</si>
  <si>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</si>
  <si>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</si>
  <si>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</si>
  <si>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</si>
  <si>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</si>
  <si>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</si>
  <si>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</si>
  <si>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</si>
  <si>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</si>
  <si>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</si>
  <si>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</si>
  <si>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</si>
  <si>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</si>
  <si>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</si>
  <si>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</si>
  <si>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</si>
  <si>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Отпуск из сети э/э в сеть за год в П1.4 должно быть равно отпуску из сети э/э за год в П1.30. Точность - 2 знака после запятой.</t>
  </si>
  <si>
    <t>1.156</t>
  </si>
  <si>
    <t>Отпуск из сети э/э в сеть за год по ВН в П1.4 должно быть равно отпуску из сети э/э за год по ВН в П1.30. Точность - 2 знака после запятой.</t>
  </si>
  <si>
    <t>1.157</t>
  </si>
  <si>
    <t>Отпуск из сети э/э в сеть за год по СН1 в П1.4 должно быть равно отпуску из сети э/э за год по СН1 в П1.30. Точность - 2 знака после запятой.</t>
  </si>
  <si>
    <t>1.158</t>
  </si>
  <si>
    <t>Отпуск из сети э/э в сеть за год по СН2 в П1.4 должно быть равно отпуску из сети э/э за год по СН2 в П1.30. Точность - 2 знака после запятой.</t>
  </si>
  <si>
    <t>1.159</t>
  </si>
  <si>
    <t>Отпуск из сети э/э в сеть за год по НН в П1.4 должно быть равно отпуску из сети э/э за год по НН в П1.30. Точность - 2 знака после запятой.</t>
  </si>
  <si>
    <t>1.160</t>
  </si>
  <si>
    <t>Отпуск из сети э/э в сеть за 1 полугодие в П1.4 должно быть равно отпуску из сети э/э за 1 полугодие в П1.30. Точность - 2 знака после запятой.</t>
  </si>
  <si>
    <t>1.161</t>
  </si>
  <si>
    <t>Отпуск из сети э/э в сеть за 1 полугодие по ВН в П1.4 должно быть равно отпуску из сети э/э за 1 полугодие по ВН в П1.30. Точность - 2 знака после запятой.</t>
  </si>
  <si>
    <t>1.162</t>
  </si>
  <si>
    <t>Отпуск из сети э/э в сеть за 1 полугодие по СН1 в П1.4 должно быть равно отпуску из сети э/э за 1 полугодие по СН1 в П1.30. Точность - 2 знака после запятой.</t>
  </si>
  <si>
    <t>1.163</t>
  </si>
  <si>
    <t>Отпуск из сети э/э в сеть за 1 полугодие по СН2 в П1.4 должно быть равно отпуску из сети э/э за 1 полугодие по СН2 в П1.30. Точность - 2 знака после запятой.</t>
  </si>
  <si>
    <t>1.164</t>
  </si>
  <si>
    <t>Отпуск из сети э/э в сеть за 1 полугодие по НН в П1.4 должно быть равно отпуску из сети э/э за 1 полугодие по НН в П1.30. Точность - 2 знака после запятой.</t>
  </si>
  <si>
    <t>1.165</t>
  </si>
  <si>
    <t>Отпуск из сети э/э в сеть за 2 полугодие в П1.4 должно быть равно отпуску из сети э/э за 2 полугодие в П1.30. Точность - 2 знака после запятой.</t>
  </si>
  <si>
    <t>1.166</t>
  </si>
  <si>
    <t>Отпуск из сети э/э в сеть за 2 полугодие по ВН в П1.4 должно быть равно отпуску из сети э/э за 2 полугодие по ВН в П1.30. Точность - 2 знака после запятой.</t>
  </si>
  <si>
    <t>1.167</t>
  </si>
  <si>
    <t>Отпуск из сети э/э в сеть за 2 полугодие по СН1 в П1.4 должно быть равно отпуску из сети э/э за 2 полугодие по СН1 в П1.30. Точность - 2 знака после запятой.</t>
  </si>
  <si>
    <t>1.168</t>
  </si>
  <si>
    <t>Отпуск из сети э/э в сеть за 2 полугодие по СН2 в П1.4 должно быть равно отпуску из сети э/э за 2 полугодие по СН2 в П1.30. Точность - 2 знака после запятой.</t>
  </si>
  <si>
    <t>1.169</t>
  </si>
  <si>
    <t>Отпуск из сети э/э в сеть за 2 полугодие по НН в П1.4 должно быть равно отпуску из сети э/э за 2 полугодие по НН в П1.30. Точность - 2 знака после запятой.</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</si>
  <si>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</si>
  <si>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</si>
  <si>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</si>
  <si>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</si>
  <si>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</si>
  <si>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</si>
  <si>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</si>
  <si>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</si>
  <si>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</si>
  <si>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</si>
  <si>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</si>
  <si>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</si>
  <si>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</si>
  <si>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</si>
  <si>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</si>
  <si>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</si>
  <si>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</si>
  <si>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</si>
  <si>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</si>
  <si>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</si>
  <si>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</si>
  <si>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</si>
  <si>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</si>
  <si>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</si>
  <si>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</si>
  <si>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</si>
  <si>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</si>
  <si>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</si>
  <si>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</si>
  <si>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</si>
  <si>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</si>
  <si>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</si>
  <si>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</si>
  <si>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</si>
  <si>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</si>
  <si>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</si>
  <si>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</si>
  <si>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</si>
  <si>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</si>
  <si>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</si>
  <si>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</si>
  <si>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</si>
  <si>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</si>
  <si>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</si>
  <si>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</si>
  <si>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</si>
  <si>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</si>
  <si>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</si>
  <si>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</si>
  <si>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</si>
  <si>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</si>
  <si>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Поступление мощности в сеть за 1 пг в П1.5 должно быть равно среднему значению поступлений за 6 мес. в Форме 3.1 (Факт). Точность - 2 знака после запятой.</t>
  </si>
  <si>
    <t>Поступление мощности в сеть за 2 пг в П1.5 должно быть равно среднему значению поступлений за 6 мес. в Форме 3.1 (Факт). Точность - 2 знака после запятой.</t>
  </si>
  <si>
    <t>Поступление мощности в сеть за год в П1.5 должно быть равно среднему значению поступлений за 12 мес. в Форме 3.1 (Факт). Точность - 2 знака после запятой.</t>
  </si>
  <si>
    <t>Поступление мощности в сеть за год в П1.5 должно быть равно среднему значению поступлений за 12 мес. в Форме 3.1 (План). Точность - 2 знака после запятой.</t>
  </si>
  <si>
    <t>Потери мощности за 1 пг в П1.5 должны быть равны среднему значению потерь за 6 мес. в Форме 3.1 (Факт). Точность - 2 знака после запятой.</t>
  </si>
  <si>
    <t>Потери мощности за 2 пг в П1.5 должны быть равны среднему значению потерь за 6 мес. в Форме 3.1 (Факт). Точность - 2 знака после запятой.</t>
  </si>
  <si>
    <t>Потери мощности за год в П1.5 должны быть равны среднему значению потерь за 12 мес. в Форме 3.1 (Факт). Точность - 2 знака после запятой.</t>
  </si>
  <si>
    <t>Потери мощности за год в П1.5 должны быть равны среднему значению потерь за 12 мес. в Форме 3.1 (План). Точность - 2 знака после запятой.</t>
  </si>
  <si>
    <t>Потери мощности в за 1 пг в П1.5 должны быть равно среднему значению потерь за 6 мес. в Форме 3.1 (Факт). Точность - 2 знака после запятой.</t>
  </si>
  <si>
    <t>Полезный отпуск мощности за 1 пг в П1.5 должен быть равен среднему значению полезного отпуска за 6 мес. в Форме 3.1 (Факт). Точность - 2 знака после запятой.</t>
  </si>
  <si>
    <t>Полезный отпуск мощности за 2 пг в П1.5 должен быть равен среднему значению полезного отпуска за 6 мес. в Форме 3.1 (Факт). Точность - 2 знака после запятой.</t>
  </si>
  <si>
    <t>Полезный отпуск мощности за год в П1.5 должен быть равен среднему значению полезного отпуска за 12 мес. в Форме 3.1 (Факт). Точность - 2 знака после запятой.</t>
  </si>
  <si>
    <t>Полезный отпуск мощности за год в П1.5 должен быть равен среднему значению полезного отпуска за 12 мес. в Форме 3.1 (План). Точность - 2 знака после запятой.</t>
  </si>
  <si>
    <t>2.22</t>
  </si>
  <si>
    <t>Полезный отпуск мощности в за 1 пг в П1.5 должны быть равно среднему значению полезного отпуска за 6 мес. в Форме 3.1 (Факт). Точность - 2 знака после запятой.</t>
  </si>
  <si>
    <t>2.23</t>
  </si>
  <si>
    <t>2.24</t>
  </si>
  <si>
    <t>2.25</t>
  </si>
  <si>
    <t>Поступление мощности в сеть за год в П1.5 должно быть равно поступлению мощности за год в П1.30. Точность - 2 знака после запятой.</t>
  </si>
  <si>
    <t>2.26</t>
  </si>
  <si>
    <t>Поступление мощности в сеть за год по ВН в П1.5 должно быть равно поступлению мощности за год по ВН в П1.30. Точность - 2 знака после запятой.</t>
  </si>
  <si>
    <t>2.27</t>
  </si>
  <si>
    <t>Поступление мощности в сеть за год по СН1 в П1.5 должно быть равно поступлению мощности за год по СН1 в П1.30. Точность - 2 знака после запятой.</t>
  </si>
  <si>
    <t>2.28</t>
  </si>
  <si>
    <t>Поступление мощности в сеть за год по СН2 в П1.5 должно быть равно поступлению мощности за год по СН2 в П1.30. Точность - 2 знака после запятой.</t>
  </si>
  <si>
    <t>2.29</t>
  </si>
  <si>
    <t>Поступление мощности в сеть за год по НН в П1.5 должно быть равно поступлению мощности за год по НН в П1.30. Точность - 2 знака после запятой.</t>
  </si>
  <si>
    <t>2.30</t>
  </si>
  <si>
    <t>Поступление мощности в сеть за 1 полугодие в П1.5 должно быть равно поступлению мощности за 1 полугодие в П1.30. Точность - 2 знака после запятой.</t>
  </si>
  <si>
    <t>2.31</t>
  </si>
  <si>
    <t>Поступление мощности в сеть за 1 полугодие по ВН в П1.5 должно быть равно поступлению мощности за 1 полугодие по ВН в П1.30. Точность - 2 знака после запятой.</t>
  </si>
  <si>
    <t>2.32</t>
  </si>
  <si>
    <t>Поступление мощности в сеть за 1 полугодие по СН1 в П1.5 должно быть равно поступлению мощности за 1 полугодие по СН1 в П1.30. Точность - 2 знака после запятой.</t>
  </si>
  <si>
    <t>2.33</t>
  </si>
  <si>
    <t>Поступление мощности в сеть за 1 полугодие по СН2 в П1.5 должно быть равно поступлению мощности за 1 полугодие по СН2 в П1.30. Точность - 2 знака после запятой.</t>
  </si>
  <si>
    <t>2.34</t>
  </si>
  <si>
    <t>Поступление мощности в сеть за 1 полугодие по НН в П1.5 должно быть равно поступлению мощности за 1 полугодие по НН в П1.30. Точность - 2 знака после запятой.</t>
  </si>
  <si>
    <t>2.35</t>
  </si>
  <si>
    <t>Поступление мощности в сеть за 2 полугодие в П1.5 должно быть равно поступлению мощности за 2 полугодие в П1.30. Точность - 2 знака после запятой.</t>
  </si>
  <si>
    <t>2.36</t>
  </si>
  <si>
    <t>Поступление мощности в сеть за 2 полугодие по ВН в П1.5 должно быть равно поступлению мощности за 2 полугодие по ВН в П1.30. Точность - 2 знака после запятой.</t>
  </si>
  <si>
    <t>2.37</t>
  </si>
  <si>
    <t>Поступление мощности в сеть за 2 полугодие по СН1 в П1.5 должно быть равно поступлению мощности за 2 полугодие по СН1 в П1.30. Точность - 2 знака после запятой.</t>
  </si>
  <si>
    <t>2.38</t>
  </si>
  <si>
    <t>Поступление мощности в сеть за 2 полугодие по СН2 в П1.5 должно быть равно поступлению мощности за 2 полугодие по СН2 в П1.30. Точность - 2 знака после запятой.</t>
  </si>
  <si>
    <t>2.39</t>
  </si>
  <si>
    <t>Поступление мощности в сеть за 2 полугодие по НН в П1.5 должно быть равно поступлению мощности за 2 полугодие по НН в П1.30. Точность - 2 знака после запятой.</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</si>
  <si>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</si>
  <si>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</si>
  <si>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</si>
  <si>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</si>
  <si>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</si>
  <si>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</si>
  <si>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</si>
  <si>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</si>
  <si>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</si>
  <si>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</si>
  <si>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</si>
  <si>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</si>
  <si>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</si>
  <si>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</si>
  <si>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</si>
  <si>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</si>
  <si>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</si>
  <si>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</si>
  <si>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</si>
  <si>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</si>
  <si>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</si>
  <si>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</si>
  <si>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</si>
  <si>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</si>
  <si>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</si>
  <si>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</si>
  <si>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</si>
  <si>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</si>
  <si>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</si>
  <si>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</si>
  <si>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</si>
  <si>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</si>
  <si>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</si>
  <si>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</si>
  <si>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</si>
  <si>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</si>
  <si>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</si>
  <si>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</si>
  <si>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</si>
  <si>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</si>
  <si>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</si>
  <si>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</si>
  <si>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</si>
  <si>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</si>
  <si>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</si>
  <si>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Потери мощности в сеть за год в П1.5 должно быть равно потерям мощности за год в П1.30. Точность - 2 знака после запятой.</t>
  </si>
  <si>
    <t>2.85</t>
  </si>
  <si>
    <t>Потери мощности в сеть за год по ВН в П1.5 должно быть равно потерям мощности за год по ВН в П1.30. Точность - 2 знака после запятой.</t>
  </si>
  <si>
    <t>2.86</t>
  </si>
  <si>
    <t>Потери мощности в сеть за год по СН1 в П1.5 должно быть равно потерям мощности за год по СН1 в П1.30. Точность - 2 знака после запятой.</t>
  </si>
  <si>
    <t>2.87</t>
  </si>
  <si>
    <t>Потери мощности в сеть за год по СН2 в П1.5 должно быть равно потерям мощности за год по СН2 в П1.30. Точность - 2 знака после запятой.</t>
  </si>
  <si>
    <t>2.88</t>
  </si>
  <si>
    <t>Потери мощности в сеть за год по НН в П1.5 должно быть равно потерям мощности за год по НН в П1.30. Точность - 2 знака после запятой.</t>
  </si>
  <si>
    <t>2.89</t>
  </si>
  <si>
    <t>Потери мощности в сеть за 1 полугодие в П1.5 должно быть равно потерям мощности за 1 полугодие в П1.30. Точность - 2 знака после запятой.</t>
  </si>
  <si>
    <t>2.90</t>
  </si>
  <si>
    <t>Потери мощности в сеть за 1 полугодие по ВН в П1.5 должно быть равно потерям мощности за 1 полугодие по ВН в П1.30. Точность - 2 знака после запятой.</t>
  </si>
  <si>
    <t>2.91</t>
  </si>
  <si>
    <t>Потери мощности в сеть за 1 полугодие по СН1 в П1.5 должно быть равно потерям мощности за 1 полугодие по СН1 в П1.30. Точность - 2 знака после запятой.</t>
  </si>
  <si>
    <t>2.92</t>
  </si>
  <si>
    <t>Потери мощности в сеть за 1 полугодие по СН2 в П1.5 должно быть равно потерям мощности за 1 полугодие по СН2 в П1.30. Точность - 2 знака после запятой.</t>
  </si>
  <si>
    <t>2.93</t>
  </si>
  <si>
    <t>Потери мощности в сеть за 1 полугодие по НН в П1.5 должно быть равно потерям мощности за 1 полугодие по НН в П1.30. Точность - 2 знака после запятой.</t>
  </si>
  <si>
    <t>2.94</t>
  </si>
  <si>
    <t>Потери мощности в сеть за 2 полугодие в П1.5 должно быть равно потерям мощности за 2 полугодие в П1.30. Точность - 2 знака после запятой.</t>
  </si>
  <si>
    <t>2.95</t>
  </si>
  <si>
    <t>Потери мощности в сеть за 2 полугодие по ВН в П1.5 должно быть равно потерям мощности за 2 полугодие по ВН в П1.30. Точность - 2 знака после запятой.</t>
  </si>
  <si>
    <t>2.96</t>
  </si>
  <si>
    <t>Потери мощности в сеть за 2 полугодие по СН1 в П1.5 должно быть равно потерям мощности за 2 полугодие по СН1 в П1.30. Точность - 2 знака после запятой.</t>
  </si>
  <si>
    <t>2.97</t>
  </si>
  <si>
    <t>Потери мощности в сеть за 2 полугодие по СН2 в П1.5 должно быть равно потерям мощности за 2 полугодие по СН2 в П1.30. Точность - 2 знака после запятой.</t>
  </si>
  <si>
    <t>2.98</t>
  </si>
  <si>
    <t>Потери мощности в сеть за 2 полугодие по НН в П1.5 должно быть равно потерям мощности за 2 полугодие по НН в П1.30. Точность - 2 знака после запятой.</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</si>
  <si>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</si>
  <si>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</si>
  <si>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</si>
  <si>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</si>
  <si>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</si>
  <si>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</si>
  <si>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</si>
  <si>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</si>
  <si>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</si>
  <si>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</si>
  <si>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</si>
  <si>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</si>
  <si>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</si>
  <si>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</si>
  <si>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</si>
  <si>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</si>
  <si>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</si>
  <si>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</si>
  <si>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</si>
  <si>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</si>
  <si>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</si>
  <si>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</si>
  <si>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</si>
  <si>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</si>
  <si>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</si>
  <si>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</si>
  <si>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</si>
  <si>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</si>
  <si>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</si>
  <si>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</si>
  <si>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</si>
  <si>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</si>
  <si>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</si>
  <si>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</si>
  <si>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</si>
  <si>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</si>
  <si>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</si>
  <si>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</si>
  <si>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</si>
  <si>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</si>
  <si>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</si>
  <si>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</si>
  <si>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</si>
  <si>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</si>
  <si>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</si>
  <si>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</si>
  <si>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Отпуск из сети мощности в сеть за год в П1.5 должно быть равно отпуску из сети мощности за год в П1.30. Точность - 2 знака после запятой.</t>
  </si>
  <si>
    <t>2.145</t>
  </si>
  <si>
    <t>Отпуск из сети мощности в сеть за год по ВН в П1.5 должно быть равно отпуску из сети мощности за год по ВН в П1.30. Точность - 2 знака после запятой.</t>
  </si>
  <si>
    <t>2.146</t>
  </si>
  <si>
    <t>Отпуск из сети мощности в сеть за год по СН1 в П1.5 должно быть равно отпуску из сети мощности за год по СН1 в П1.30. Точность - 2 знака после запятой.</t>
  </si>
  <si>
    <t>2.147</t>
  </si>
  <si>
    <t>Отпуск из сети мощности в сеть за год по СН2 в П1.5 должно быть равно отпуску из сети мощности за год по СН2 в П1.30. Точность - 2 знака после запятой.</t>
  </si>
  <si>
    <t>2.148</t>
  </si>
  <si>
    <t>Отпуск из сети мощности в сеть за год по НН в П1.5 должно быть равно отпуску из сети мощности за год по НН в П1.30. Точность - 2 знака после запятой.</t>
  </si>
  <si>
    <t>2.149</t>
  </si>
  <si>
    <t>Отпуск из сети мощности в сеть за 1 полугодие в П1.5 должно быть равно отпуску из сети мощности за 1 полугодие в П1.30. Точность - 2 знака после запятой.</t>
  </si>
  <si>
    <t>2.150</t>
  </si>
  <si>
    <t>Отпуск из сети мощности в сеть за 1 полугодие по ВН в П1.5 должно быть равно отпуску из сети мощности за 1 полугодие по ВН в П1.30. Точность - 2 знака после запятой.</t>
  </si>
  <si>
    <t>2.151</t>
  </si>
  <si>
    <t>Отпуск из сети мощности в сеть за 1 полугодие по СН1 в П1.5 должно быть равно отпуску из сети мощности за 1 полугодие по СН1 в П1.30. Точность - 2 знака после запятой.</t>
  </si>
  <si>
    <t>2.152</t>
  </si>
  <si>
    <t>Отпуск из сети мощности в сеть за 1 полугодие по СН2 в П1.5 должно быть равно отпуску из сети мощности за 1 полугодие по СН2 в П1.30. Точность - 2 знака после запятой.</t>
  </si>
  <si>
    <t>2.153</t>
  </si>
  <si>
    <t>Отпуск из сети мощности в сеть за 1 полугодие по НН в П1.5 должно быть равно отпуску из сети мощности за 1 полугодие по НН в П1.30. Точность - 2 знака после запятой.</t>
  </si>
  <si>
    <t>2.154</t>
  </si>
  <si>
    <t>Отпуск из сети мощности в сеть за 2 полугодие в П1.5 должно быть равно отпуску из сети мощности за 2 полугодие в П1.30. Точность - 2 знака после запятой.</t>
  </si>
  <si>
    <t>2.155</t>
  </si>
  <si>
    <t>Отпуск из сети мощности в сеть за 2 полугодие по ВН в П1.5 должно быть равно отпуску из сети мощности за 2 полугодие по ВН в П1.30. Точность - 2 знака после запятой.</t>
  </si>
  <si>
    <t>2.156</t>
  </si>
  <si>
    <t>Отпуск из сети мощности в сеть за 2 полугодие по СН1 в П1.5 должно быть равно отпуску из сети мощности за 2 полугодие по СН1 в П1.30. Точность - 2 знака после запятой.</t>
  </si>
  <si>
    <t>2.157</t>
  </si>
  <si>
    <t>Отпуск из сети мощности в сеть за 2 полугодие по СН2 в П1.5 должно быть равно отпуску из сети мощности за 2 полугодие по СН2 в П1.30. Точность - 2 знака после запятой.</t>
  </si>
  <si>
    <t>2.158</t>
  </si>
  <si>
    <t>Отпуск из сети мощности в сеть за 2 полугодие по НН в П1.5 должно быть равно отпуску из сети мощности за 2 полугодие по НН в П1.30. Точность - 2 знака после запятой.</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</si>
  <si>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</si>
  <si>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</si>
  <si>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</si>
  <si>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</si>
  <si>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</si>
  <si>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</si>
  <si>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</si>
  <si>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</si>
  <si>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</si>
  <si>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</si>
  <si>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</si>
  <si>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</si>
  <si>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</si>
  <si>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</si>
  <si>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</si>
  <si>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</si>
  <si>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</si>
  <si>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</si>
  <si>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</si>
  <si>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</si>
  <si>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</si>
  <si>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</si>
  <si>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</si>
  <si>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</si>
  <si>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</si>
  <si>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</si>
  <si>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</si>
  <si>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</si>
  <si>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</si>
  <si>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</si>
  <si>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</si>
  <si>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</si>
  <si>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</si>
  <si>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</si>
  <si>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</si>
  <si>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</si>
  <si>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</si>
  <si>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</si>
  <si>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</si>
  <si>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</si>
  <si>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</si>
  <si>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</si>
  <si>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</si>
  <si>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</si>
  <si>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</si>
  <si>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</si>
  <si>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Итоговая сумма расходов указанная на листе Расчет НВВ должна соответствовать сумме расшифровке расходов на листе Сырье и материалы</t>
  </si>
  <si>
    <t>Минимум НВВ на содержание должно быть равно товарной продукции за 1 пг. Точность - 2 знака после запятой.</t>
  </si>
  <si>
    <t>Минимум НВВ на содержание должно быть равно товарной продукции за 2 пг. Точность - 2 знака после запятой.</t>
  </si>
  <si>
    <t>Минимум НВВ на содержание должно быть равно товарной продукции за год. Точность - 2 знака после запятой.</t>
  </si>
  <si>
    <t>Максимум НВВ на содержание должно быть равно товарной продукции за 1 пг. Точность - 2 знака после запятой.</t>
  </si>
  <si>
    <t>Максимум НВВ на содержание должно быть равно товарной продукции за 2 пг. Точность - 2 знака после запятой.</t>
  </si>
  <si>
    <t>Максимум НВВ на содержание должно быть равно товарной продукции за год. Точность - 2 знака после запятой.</t>
  </si>
  <si>
    <t>Итоговая сумма расходов указанная на листе Расчет НВВ должна соответствовать сумме расшифровке расходов на листе РПР Ремонт</t>
  </si>
  <si>
    <t>Проверка должна равняться нулю</t>
  </si>
  <si>
    <t>4.10</t>
  </si>
  <si>
    <t>4.11</t>
  </si>
  <si>
    <t>4.12</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</si>
  <si>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</si>
  <si>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</si>
  <si>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</si>
  <si>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</si>
  <si>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</si>
  <si>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</si>
  <si>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</si>
  <si>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</si>
  <si>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</si>
  <si>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</si>
  <si>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</si>
  <si>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</si>
  <si>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</si>
  <si>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</si>
  <si>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2649</t>
  </si>
  <si>
    <t>26503849</t>
  </si>
  <si>
    <t>2224103849</t>
  </si>
  <si>
    <t>222501001</t>
  </si>
  <si>
    <t>06-07-2006 00:00:00</t>
  </si>
  <si>
    <t>ГП</t>
  </si>
  <si>
    <t>/Электроэнергетика/Сбыт ЭЭ/ГП</t>
  </si>
  <si>
    <t>EE</t>
  </si>
  <si>
    <t>13-08-2008 00:00:00</t>
  </si>
  <si>
    <t>РСО</t>
  </si>
  <si>
    <t>/Электроэнергетика/Передача ЭЭ/РСО</t>
  </si>
  <si>
    <t>30406223</t>
  </si>
  <si>
    <t>МУП "Джазаторская ГЭС"</t>
  </si>
  <si>
    <t>0404009489</t>
  </si>
  <si>
    <t>040401001</t>
  </si>
  <si>
    <t>10-02-2016 00:00:00</t>
  </si>
  <si>
    <t>ГП :: Некомбинированная выработка</t>
  </si>
  <si>
    <t>/Электроэнергетика/Сбыт ЭЭ/ГП :: /Электроэнергетика/Производство ЭЭ/Некомбинированная выработка</t>
  </si>
  <si>
    <t>31384040</t>
  </si>
  <si>
    <t>МУП "Кайру"</t>
  </si>
  <si>
    <t>0400012642</t>
  </si>
  <si>
    <t>040001001</t>
  </si>
  <si>
    <t>27-06-2019 00:00:00</t>
  </si>
  <si>
    <t>01-01-2020 00:00:00</t>
  </si>
  <si>
    <t>РСО :: ГП :: Некомбинированная выработка</t>
  </si>
  <si>
    <t>/Электроэнергетика/Передача ЭЭ/РСО :: /Электроэнергетика/Сбыт ЭЭ/ГП :: /Электроэнергетика/Производство ЭЭ/Некомбинированная выработка</t>
  </si>
  <si>
    <t>30355441</t>
  </si>
  <si>
    <t>ООО "Авелар Солар Технолоджи"</t>
  </si>
  <si>
    <t>7701921436</t>
  </si>
  <si>
    <t>772801001</t>
  </si>
  <si>
    <t>14-08-2017 00:00:00</t>
  </si>
  <si>
    <t>Некомбинированная выработка</t>
  </si>
  <si>
    <t>/Электроэнергетика/Производство ЭЭ/Некомбинированная выработка</t>
  </si>
  <si>
    <t>29-08-2017 00:00:00</t>
  </si>
  <si>
    <t>26416221</t>
  </si>
  <si>
    <t>ООО "РН-Энерго"</t>
  </si>
  <si>
    <t>7706525041</t>
  </si>
  <si>
    <t>997650001</t>
  </si>
  <si>
    <t>02-05-2012 00:00:00</t>
  </si>
  <si>
    <t>11-11-2016 00:00:00</t>
  </si>
  <si>
    <t>Нерегулируемый сбыт</t>
  </si>
  <si>
    <t>/Электроэнергетика/Сбыт ЭЭ/Нерегулируемый сбыт</t>
  </si>
  <si>
    <t>26502786</t>
  </si>
  <si>
    <t>ООО "Русэнергосбыт"</t>
  </si>
  <si>
    <t>7706284124</t>
  </si>
  <si>
    <t>770401001</t>
  </si>
  <si>
    <t>08-08-2016 00:00:00</t>
  </si>
  <si>
    <t>30881329</t>
  </si>
  <si>
    <t>ООО "Солнечная энергия"</t>
  </si>
  <si>
    <t>0411175159</t>
  </si>
  <si>
    <t>01-02-2016 00:00:00</t>
  </si>
  <si>
    <t>14-02-2017 00:00:00</t>
  </si>
  <si>
    <t>РСО :: Некомбинированная выработка</t>
  </si>
  <si>
    <t>/Электроэнергетика/Передача ЭЭ/РСО :: /Электроэнергетика/Производство ЭЭ/Некомбинированная выработка</t>
  </si>
  <si>
    <t>03-05-2017 00:00:00</t>
  </si>
  <si>
    <t>31337792</t>
  </si>
  <si>
    <t>ООО "Челушманэнерго"</t>
  </si>
  <si>
    <t>0411175208</t>
  </si>
  <si>
    <t>19-07-2019 00:00:00</t>
  </si>
  <si>
    <t>19-08-2019 00:00:00</t>
  </si>
  <si>
    <t>ФСК :: РСО</t>
  </si>
  <si>
    <t>/Электроэнергетика/Передача ЭЭ/ФСК :: /Электроэнергетика/Передача ЭЭ/РСО</t>
  </si>
  <si>
    <t>26487539</t>
  </si>
  <si>
    <t>Сельская администрация Саратанского сельского поселения муниципального образования "Улаганский район"</t>
  </si>
  <si>
    <t>0402001491</t>
  </si>
  <si>
    <t>040230001</t>
  </si>
  <si>
    <t>05-02-2010 00:00:00</t>
  </si>
  <si>
    <t>26487537</t>
  </si>
  <si>
    <t>Сельская администрация Челушманского сельского поселения Улаганского района</t>
  </si>
  <si>
    <t>0402001460</t>
  </si>
  <si>
    <t>040201001</t>
  </si>
  <si>
    <t>21-07-2009 00:00:00</t>
  </si>
  <si>
    <t>P_L1</t>
  </si>
  <si>
    <t>P_L2</t>
  </si>
  <si>
    <t>P_L3</t>
  </si>
  <si>
    <t>P_L4</t>
  </si>
  <si>
    <t>P_L5</t>
  </si>
  <si>
    <t>P_L6</t>
  </si>
  <si>
    <t>P_L7</t>
  </si>
  <si>
    <t>P_L8</t>
  </si>
  <si>
    <t>P_L9</t>
  </si>
  <si>
    <t>P_L10</t>
  </si>
  <si>
    <t>P_L11</t>
  </si>
  <si>
    <t>P_REGION_NAME</t>
  </si>
  <si>
    <t>9915</t>
  </si>
  <si>
    <t>10404</t>
  </si>
  <si>
    <t>-13.9</t>
  </si>
  <si>
    <t>1.04</t>
  </si>
  <si>
    <t>1.01</t>
  </si>
  <si>
    <t>1.03</t>
  </si>
  <si>
    <t>DOC</t>
  </si>
  <si>
    <t>CELL</t>
  </si>
  <si>
    <t>(вид цены (тарифа) на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</si>
</sst>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8" formatCode="###0"/>
    <numFmt numFmtId="169" formatCode="#,##0.00000000"/>
    <numFmt numFmtId="170" formatCode="#,##0.000"/>
    <numFmt numFmtId="171" formatCode="#,##0.000000"/>
    <numFmt numFmtId="172" formatCode="0.0000"/>
    <numFmt numFmtId="173" formatCode="#,##0.0000"/>
    <numFmt numFmtId="174" formatCode="0.000"/>
    <numFmt numFmtId="175" formatCode="#,##0.00000"/>
    <numFmt numFmtId="176" formatCode="0.0%"/>
    <numFmt numFmtId="177" formatCode="dd/mm/yy;@"/>
    <numFmt numFmtId="178" formatCode="dd\.mm\.yyyy"/>
    <numFmt numFmtId="179" formatCode="#,##0.00_ ;[Red]\-#,##0.00\ "/>
    <numFmt numFmtId="180" formatCode="0.0"/>
    <numFmt numFmtId="181" formatCode="#,##0.0"/>
  </numFmts>
  <fonts count="89">
    <font>
      <sz val="11"/>
      <color rgb="FF000000"/>
      <name val="Calibri"/>
    </font>
    <font>
      <sz val="9"/>
      <color rgb="FF000000"/>
      <name val="Tahoma"/>
    </font>
    <font>
      <sz val="9"/>
      <color theme="1"/>
      <name val="Tahoma"/>
    </font>
    <font>
      <sz val="9"/>
      <name val="Tahoma"/>
    </font>
    <font>
      <sz val="8"/>
      <color theme="1"/>
      <name val="Tahoma"/>
    </font>
    <font>
      <sz val="11"/>
      <color rgb="FFFFFFFF"/>
      <name val="Tahoma"/>
    </font>
    <font>
      <b/>
      <sz val="10"/>
      <name val="Tahoma"/>
    </font>
    <font>
      <sz val="10"/>
      <name val="Tahoma"/>
    </font>
    <font>
      <sz val="11"/>
      <color rgb="FF000000"/>
      <name val="Tahoma"/>
    </font>
    <font>
      <sz val="10"/>
      <color rgb="FF000000"/>
      <name val="Tahoma"/>
    </font>
    <font>
      <b/>
      <sz val="10"/>
      <color rgb="FF000000"/>
      <name val="Tahoma"/>
    </font>
    <font>
      <sz val="9"/>
      <color rgb="FFFFFFFF"/>
      <name val="Tahoma"/>
    </font>
    <font>
      <sz val="11"/>
      <name val="Calibri"/>
    </font>
    <font>
      <b/>
      <sz val="9"/>
      <name val="Tahoma"/>
    </font>
    <font>
      <sz val="12"/>
      <color rgb="FFBCBCBC"/>
      <name val="Tahoma"/>
    </font>
    <font>
      <sz val="9"/>
      <color rgb="FF333399"/>
      <name val="Tahoma"/>
    </font>
    <font>
      <b/>
      <sz val="9"/>
      <color rgb="FF000000"/>
      <name val="Tahoma"/>
    </font>
    <font>
      <u/>
      <sz val="9"/>
      <color rgb="FF0000FF"/>
      <name val="Tahoma"/>
    </font>
    <font>
      <sz val="9"/>
      <color rgb="FFCFCFCF"/>
      <name val="Tahoma"/>
    </font>
    <font>
      <i/>
      <sz val="9"/>
      <color theme="1"/>
      <name val="Tahoma"/>
    </font>
    <font>
      <sz val="10"/>
      <color theme="1"/>
      <name val="Tahoma"/>
    </font>
    <font>
      <sz val="9"/>
      <color rgb="FFD9D9D9"/>
      <name val="Tahoma"/>
    </font>
    <font>
      <sz val="9"/>
      <color rgb="FF999999"/>
      <name val="Tahoma"/>
    </font>
    <font>
      <sz val="10"/>
      <color rgb="FF0000FF"/>
      <name val="Tahoma"/>
    </font>
    <font>
      <b/>
      <sz val="9"/>
      <color rgb="FF999999"/>
      <name val="Tahoma"/>
    </font>
    <font>
      <sz val="9"/>
      <color rgb="FFFF0000"/>
      <name val="Tahoma"/>
    </font>
    <font>
      <sz val="9"/>
      <color theme="0"/>
      <name val="Tahoma"/>
    </font>
    <font>
      <sz val="11"/>
      <color indexed="0"/>
      <name val="Calibri"/>
      <family val="2"/>
    </font>
    <font>
      <i/>
      <sz val="9"/>
      <name val="Tahoma"/>
    </font>
    <font>
      <b/>
      <sz val="9"/>
      <color theme="1"/>
      <name val="Tahoma"/>
    </font>
    <font>
      <sz val="11"/>
      <name val="Calibri"/>
      <scheme val="minor"/>
    </font>
    <font>
      <sz val="9"/>
      <name val="Times New Roman"/>
    </font>
    <font>
      <b/>
      <sz val="9"/>
      <name val="Times New Roman"/>
    </font>
    <font>
      <u/>
      <sz val="9"/>
      <color theme="10"/>
      <name val="Times New Roman"/>
    </font>
    <font>
      <b/>
      <i/>
      <u/>
      <sz val="9"/>
      <name val="Times New Roman"/>
    </font>
    <font>
      <u/>
      <sz val="9"/>
      <name val="Times New Roman"/>
    </font>
    <font>
      <sz val="14"/>
      <name val="Times New Roman"/>
    </font>
    <font>
      <b/>
      <i/>
      <sz val="9"/>
      <name val="Times New Roman"/>
    </font>
    <font>
      <b/>
      <sz val="9"/>
      <color rgb="FFFF0000"/>
      <name val="Tahoma"/>
    </font>
    <font>
      <u/>
      <sz val="9"/>
      <color theme="10"/>
      <name val="Tahoma"/>
    </font>
    <font>
      <b/>
      <i/>
      <u/>
      <sz val="9"/>
      <name val="Tahoma"/>
    </font>
    <font>
      <u/>
      <sz val="9"/>
      <name val="Tahoma"/>
    </font>
    <font>
      <b/>
      <i/>
      <sz val="12"/>
      <name val="Tahoma"/>
    </font>
    <font>
      <b/>
      <i/>
      <sz val="9"/>
      <name val="Tahoma"/>
    </font>
    <font>
      <sz val="9"/>
      <color theme="0"/>
      <name val="Times New Roman"/>
    </font>
    <font>
      <sz val="9"/>
      <color theme="1"/>
      <name val="Times New Roman"/>
    </font>
    <font>
      <u/>
      <sz val="9"/>
      <color theme="1"/>
      <name val="Tahoma"/>
    </font>
    <font>
      <sz val="11"/>
      <color theme="1"/>
      <name val="Tahoma"/>
    </font>
    <font>
      <sz val="11"/>
      <name val="Tahoma"/>
    </font>
    <font>
      <b/>
      <sz val="11"/>
      <color theme="1"/>
      <name val="Tahoma"/>
    </font>
    <font>
      <sz val="1"/>
      <color theme="1"/>
      <name val="Tahoma"/>
    </font>
    <font>
      <b/>
      <sz val="9"/>
      <color rgb="FFCC0000"/>
      <name val="Tahoma"/>
    </font>
    <font>
      <sz val="9"/>
      <color theme="0" tint="-0.14999847407452621"/>
      <name val="Tahoma"/>
    </font>
    <font>
      <b/>
      <sz val="9"/>
      <color theme="0"/>
      <name val="Tahoma"/>
    </font>
    <font>
      <sz val="9"/>
      <color rgb="FF000000"/>
      <name val="Calibri"/>
    </font>
    <font>
      <b/>
      <sz val="9"/>
      <color theme="4" tint="-0.499984740745262"/>
      <name val="Tahoma"/>
    </font>
    <font>
      <sz val="8"/>
      <name val="Tahoma"/>
    </font>
    <font>
      <b/>
      <sz val="8"/>
      <name val="Tahoma"/>
    </font>
    <font>
      <b/>
      <sz val="8"/>
      <color rgb="FFFFFFFF"/>
      <name val="Tahoma"/>
    </font>
    <font>
      <sz val="8"/>
      <color rgb="FFFFFFFF"/>
      <name val="Tahoma"/>
    </font>
    <font>
      <sz val="11"/>
      <color rgb="FF4FC1FF"/>
      <name val="Consolas"/>
    </font>
    <font>
      <sz val="10"/>
      <color rgb="FF000000"/>
      <name val="Arial Cyr"/>
    </font>
    <font>
      <sz val="14"/>
      <color rgb="FFAAAAAA"/>
      <name val="Calibri"/>
      <scheme val="minor"/>
    </font>
    <font>
      <u/>
      <sz val="10"/>
      <color theme="10"/>
      <name val="Arial Cyr"/>
    </font>
    <font>
      <b/>
      <sz val="10"/>
      <color rgb="FFFF0000"/>
      <name val="Arial Cyr"/>
    </font>
    <font>
      <sz val="11"/>
      <color rgb="FF000000"/>
      <name val="Calibri"/>
      <scheme val="minor"/>
    </font>
    <font>
      <sz val="14"/>
      <color rgb="FFBCBCBC"/>
      <name val="Calibri"/>
    </font>
    <font>
      <sz val="1"/>
      <color theme="0"/>
      <name val="Tahoma"/>
    </font>
    <font>
      <sz val="10"/>
      <name val="Arial Cyr"/>
    </font>
    <font>
      <sz val="14"/>
      <color rgb="FFBCBCBC"/>
      <name val="Calibri"/>
      <scheme val="minor"/>
    </font>
    <font>
      <sz val="11"/>
      <name val="Wingdings 2"/>
    </font>
    <font>
      <sz val="10"/>
      <color rgb="FFFFFFFF"/>
      <name val="Arial Cyr"/>
    </font>
    <font>
      <sz val="11"/>
      <color theme="1"/>
      <name val="Wingdings 2"/>
    </font>
    <font>
      <sz val="10"/>
      <color theme="1"/>
      <name val="Arial"/>
    </font>
    <font>
      <sz val="10"/>
      <color rgb="FF000000"/>
      <name val="Arial"/>
    </font>
    <font>
      <sz val="10"/>
      <name val="Arial"/>
    </font>
    <font>
      <sz val="11"/>
      <color rgb="FF000000"/>
      <name val="Calibri"/>
    </font>
    <font>
      <sz val="11"/>
      <color rgb="FFCCCCCC"/>
      <name val="Consolas"/>
      <family val="3"/>
      <charset val="204"/>
    </font>
    <font>
      <sz val="11"/>
      <color rgb="FF9CDCFE"/>
      <name val="Consolas"/>
      <family val="3"/>
      <charset val="204"/>
    </font>
    <font>
      <vertAlign val="superscript"/>
      <sz val="9"/>
      <name val="Tahoma"/>
      <family val="2"/>
      <charset val="204"/>
    </font>
    <font>
      <sz val="9"/>
      <name val="Tahoma"/>
      <family val="2"/>
      <charset val="204"/>
    </font>
    <font>
      <vertAlign val="subscript"/>
      <sz val="9"/>
      <name val="Tahoma"/>
      <family val="2"/>
      <charset val="204"/>
    </font>
    <font>
      <b/>
      <vertAlign val="superscript"/>
      <sz val="9"/>
      <name val="Tahoma"/>
      <family val="2"/>
      <charset val="204"/>
    </font>
    <font>
      <b/>
      <sz val="9"/>
      <name val="Tahoma"/>
      <family val="2"/>
      <charset val="204"/>
    </font>
    <font>
      <vertAlign val="superscript"/>
      <sz val="9"/>
      <color theme="1"/>
      <name val="Tahoma"/>
      <family val="2"/>
      <charset val="204"/>
    </font>
    <font>
      <sz val="9"/>
      <name val="Times New Roman"/>
      <family val="1"/>
      <charset val="204"/>
    </font>
    <font>
      <sz val="13"/>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9" tint="0.39997558519241921"/>
        <bgColor indexed="65"/>
      </patternFill>
    </fill>
    <fill>
      <patternFill patternType="solid">
        <fgColor rgb="FFE3FAFD"/>
      </patternFill>
    </fill>
    <fill>
      <patternFill patternType="solid">
        <fgColor rgb="FFBCBCBC"/>
      </patternFill>
    </fill>
    <fill>
      <patternFill patternType="solid">
        <fgColor theme="0" tint="-0.14999847407452621"/>
        <bgColor indexed="65"/>
      </patternFill>
    </fill>
    <fill>
      <patternFill patternType="solid">
        <fgColor rgb="FFFFFFC0"/>
      </patternFill>
    </fill>
    <fill>
      <patternFill patternType="solid">
        <fgColor rgb="FFD3DBDB"/>
      </patternFill>
    </fill>
    <fill>
      <patternFill patternType="solid">
        <fgColor rgb="FFD7EAD3"/>
      </patternFill>
    </fill>
    <fill>
      <patternFill patternType="solid">
        <fgColor rgb="FFFFFFFF"/>
      </patternFill>
    </fill>
    <fill>
      <patternFill patternType="solid">
        <fgColor theme="0"/>
      </patternFill>
    </fill>
    <fill>
      <patternFill patternType="lightDown">
        <fgColor rgb="FFB7E4FF"/>
        <bgColor rgb="FFFFFFFF"/>
      </patternFill>
    </fill>
    <fill>
      <patternFill patternType="solid">
        <fgColor rgb="FFC0C0C0"/>
      </patternFill>
    </fill>
    <fill>
      <patternFill patternType="solid">
        <fgColor rgb="FFD2D2D2"/>
      </patternFill>
    </fill>
    <fill>
      <patternFill patternType="solid">
        <fgColor rgb="FFBFBFBF"/>
      </patternFill>
    </fill>
    <fill>
      <patternFill patternType="solid">
        <fgColor theme="0" tint="-0.249977111117893"/>
        <bgColor indexed="65"/>
      </patternFill>
    </fill>
    <fill>
      <patternFill patternType="solid">
        <fgColor theme="4" tint="0.79998168889431442"/>
        <bgColor indexed="65"/>
      </patternFill>
    </fill>
    <fill>
      <patternFill patternType="solid">
        <fgColor theme="0" tint="-0.34998626667073579"/>
        <bgColor indexed="65"/>
      </patternFill>
    </fill>
    <fill>
      <patternFill patternType="solid">
        <fgColor theme="9" tint="0.59999389629810485"/>
        <bgColor indexed="65"/>
      </patternFill>
    </fill>
    <fill>
      <patternFill patternType="solid">
        <fgColor theme="0" tint="-4.9989318521683403E-2"/>
        <bgColor indexed="65"/>
      </patternFill>
    </fill>
    <fill>
      <patternFill patternType="solid">
        <fgColor rgb="FFCC0000"/>
      </patternFill>
    </fill>
    <fill>
      <patternFill patternType="solid">
        <fgColor rgb="FF0066CC"/>
      </patternFill>
    </fill>
    <fill>
      <patternFill patternType="solid">
        <fgColor rgb="FFFFFF00"/>
      </patternFill>
    </fill>
    <fill>
      <patternFill patternType="solid">
        <fgColor theme="3"/>
      </patternFill>
    </fill>
    <fill>
      <patternFill patternType="solid">
        <fgColor rgb="FFFF8080"/>
      </patternFill>
    </fill>
    <fill>
      <patternFill patternType="solid">
        <fgColor theme="3" tint="0.79998168889431442"/>
        <bgColor indexed="65"/>
      </patternFill>
    </fill>
    <fill>
      <patternFill patternType="solid">
        <fgColor theme="6" tint="0.79998168889431442"/>
        <bgColor indexed="65"/>
      </patternFill>
    </fill>
  </fills>
  <borders count="208">
    <border>
      <left/>
      <right/>
      <top/>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style="thin">
        <color rgb="FFBCBCBC"/>
      </right>
      <top style="thin">
        <color rgb="FFBCBCBC"/>
      </top>
      <bottom style="thin">
        <color rgb="FFBCBCBC"/>
      </bottom>
      <diagonal/>
    </border>
    <border>
      <left/>
      <right/>
      <top style="thin">
        <color theme="0" tint="-0.249977111117893"/>
      </top>
      <bottom style="thin">
        <color theme="0" tint="-0.249977111117893"/>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rgb="FFD9D9D9"/>
      </bottom>
      <diagonal/>
    </border>
    <border>
      <left/>
      <right/>
      <top style="thin">
        <color rgb="FFD9D9D9"/>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BCBCBC"/>
      </left>
      <right style="thin">
        <color rgb="FFBCBCBC"/>
      </right>
      <top/>
      <bottom style="thin">
        <color rgb="FFBCBCBC"/>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right/>
      <top style="thin">
        <color rgb="FFC0C0C0"/>
      </top>
      <bottom style="thin">
        <color rgb="FFC0C0C0"/>
      </bottom>
      <diagonal/>
    </border>
    <border>
      <left style="thin">
        <color rgb="FFC0C0C0"/>
      </left>
      <right/>
      <top style="thin">
        <color rgb="FFC0C0C0"/>
      </top>
      <bottom/>
      <diagonal/>
    </border>
    <border>
      <left style="thin">
        <color rgb="FFD9D9D9"/>
      </left>
      <right/>
      <top/>
      <bottom/>
      <diagonal/>
    </border>
    <border>
      <left style="thin">
        <color rgb="FFD9D9D9"/>
      </left>
      <right/>
      <top style="thin">
        <color rgb="FFD9D9D9"/>
      </top>
      <bottom/>
      <diagonal/>
    </border>
    <border>
      <left style="thin">
        <color theme="0" tint="-0.249977111117893"/>
      </left>
      <right/>
      <top style="thin">
        <color theme="0" tint="-0.249977111117893"/>
      </top>
      <bottom/>
      <diagonal/>
    </border>
    <border>
      <left style="thin">
        <color rgb="FFBCBCBC"/>
      </left>
      <right style="thin">
        <color rgb="FFBCBCBC"/>
      </right>
      <top style="thin">
        <color rgb="FFBCBCBC"/>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rgb="FFC0C0C0"/>
      </left>
      <right/>
      <top/>
      <bottom/>
      <diagonal/>
    </border>
    <border>
      <left/>
      <right style="thin">
        <color rgb="FFC0C0C0"/>
      </right>
      <top/>
      <bottom/>
      <diagonal/>
    </border>
    <border>
      <left/>
      <right/>
      <top/>
      <bottom style="thin">
        <color rgb="FF000000"/>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rgb="FFBCBCBC"/>
      </bottom>
      <diagonal/>
    </border>
    <border>
      <left/>
      <right style="thin">
        <color theme="0" tint="-0.249977111117893"/>
      </right>
      <top style="thin">
        <color theme="0" tint="-0.249977111117893"/>
      </top>
      <bottom style="thin">
        <color rgb="FFBCBCBC"/>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rgb="FFBCBCBC"/>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BFBFBF"/>
      </left>
      <right style="thin">
        <color rgb="FFBFBFBF"/>
      </right>
      <top style="thin">
        <color rgb="FFBFBFBF"/>
      </top>
      <bottom style="thin">
        <color rgb="FFBFBFBF"/>
      </bottom>
      <diagonal/>
    </border>
    <border>
      <left style="thin">
        <color rgb="FFBCBCBC"/>
      </left>
      <right style="thin">
        <color theme="0" tint="-0.249977111117893"/>
      </right>
      <top style="thin">
        <color rgb="FFBCBCBC"/>
      </top>
      <bottom/>
      <diagonal/>
    </border>
    <border>
      <left style="thin">
        <color theme="0" tint="-0.249977111117893"/>
      </left>
      <right/>
      <top style="thin">
        <color rgb="FFBCBCBC"/>
      </top>
      <bottom style="thin">
        <color rgb="FFBCBCBC"/>
      </bottom>
      <diagonal/>
    </border>
    <border>
      <left style="thin">
        <color theme="0" tint="-0.249977111117893"/>
      </left>
      <right/>
      <top style="thin">
        <color rgb="FFBCBCBC"/>
      </top>
      <bottom/>
      <diagonal/>
    </border>
    <border>
      <left style="thin">
        <color rgb="FFBCBCBC"/>
      </left>
      <right style="thin">
        <color rgb="FFBCBCBC"/>
      </right>
      <top/>
      <bottom/>
      <diagonal/>
    </border>
    <border>
      <left style="thin">
        <color rgb="FFBCBCBC"/>
      </left>
      <right style="thin">
        <color theme="0" tint="-0.249977111117893"/>
      </right>
      <top/>
      <bottom/>
      <diagonal/>
    </border>
    <border>
      <left style="thin">
        <color theme="0" tint="-0.249977111117893"/>
      </left>
      <right/>
      <top/>
      <bottom style="thin">
        <color rgb="FFBCBCBC"/>
      </bottom>
      <diagonal/>
    </border>
    <border>
      <left style="thin">
        <color rgb="FFBCBCBC"/>
      </left>
      <right style="thin">
        <color rgb="FFBCBCBC"/>
      </right>
      <top style="thin">
        <color theme="0" tint="-0.249977111117893"/>
      </top>
      <bottom/>
      <diagonal/>
    </border>
    <border>
      <left style="thin">
        <color rgb="FFBCBCBC"/>
      </left>
      <right/>
      <top style="thin">
        <color rgb="FFBCBCBC"/>
      </top>
      <bottom style="thin">
        <color rgb="FF000000"/>
      </bottom>
      <diagonal/>
    </border>
    <border>
      <left style="thin">
        <color rgb="FFBCBCBC"/>
      </left>
      <right style="thin">
        <color rgb="FFBCBCBC"/>
      </right>
      <top style="thin">
        <color rgb="FFBCBCBC"/>
      </top>
      <bottom style="thin">
        <color rgb="FF000000"/>
      </bottom>
      <diagonal/>
    </border>
    <border>
      <left style="thin">
        <color rgb="FFBCBCBC"/>
      </left>
      <right/>
      <top style="thin">
        <color rgb="FF000000"/>
      </top>
      <bottom style="thin">
        <color rgb="FF000000"/>
      </bottom>
      <diagonal/>
    </border>
    <border>
      <left style="thin">
        <color rgb="FFBCBCBC"/>
      </left>
      <right style="thin">
        <color rgb="FFBCBCBC"/>
      </right>
      <top style="thin">
        <color rgb="FF000000"/>
      </top>
      <bottom style="thin">
        <color rgb="FF000000"/>
      </bottom>
      <diagonal/>
    </border>
    <border>
      <left style="thin">
        <color rgb="FFBCBCBC"/>
      </left>
      <right/>
      <top style="thin">
        <color rgb="FF000000"/>
      </top>
      <bottom/>
      <diagonal/>
    </border>
    <border>
      <left style="thin">
        <color rgb="FFBCBCBC"/>
      </left>
      <right style="thin">
        <color rgb="FFBCBCBC"/>
      </right>
      <top style="thin">
        <color rgb="FF000000"/>
      </top>
      <bottom/>
      <diagonal/>
    </border>
    <border>
      <left style="thin">
        <color rgb="FFC0C0C0"/>
      </left>
      <right style="thin">
        <color rgb="FFC0C0C0"/>
      </right>
      <top style="thin">
        <color rgb="FFC0C0C0"/>
      </top>
      <bottom/>
      <diagonal/>
    </border>
    <border>
      <left style="thin">
        <color rgb="FFBCBCBC"/>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rgb="FFBCBCBC"/>
      </bottom>
      <diagonal/>
    </border>
    <border>
      <left style="thin">
        <color rgb="FFBCBCBC"/>
      </left>
      <right/>
      <top style="thin">
        <color rgb="FFBCBCBC"/>
      </top>
      <bottom style="thin">
        <color rgb="FF999999"/>
      </bottom>
      <diagonal/>
    </border>
    <border>
      <left style="thin">
        <color rgb="FFBCBCBC"/>
      </left>
      <right style="thick">
        <color rgb="FFBCBCBC"/>
      </right>
      <top style="thin">
        <color rgb="FFBCBCBC"/>
      </top>
      <bottom style="thin">
        <color rgb="FF999999"/>
      </bottom>
      <diagonal/>
    </border>
    <border>
      <left style="thick">
        <color rgb="FFBCBCBC"/>
      </left>
      <right/>
      <top style="thin">
        <color rgb="FFBCBCBC"/>
      </top>
      <bottom/>
      <diagonal/>
    </border>
    <border>
      <left style="thin">
        <color rgb="FFBCBCBC"/>
      </left>
      <right/>
      <top style="thin">
        <color rgb="FF999999"/>
      </top>
      <bottom style="thin">
        <color rgb="FF999999"/>
      </bottom>
      <diagonal/>
    </border>
    <border>
      <left style="thin">
        <color rgb="FFBCBCBC"/>
      </left>
      <right style="thick">
        <color rgb="FFBCBCBC"/>
      </right>
      <top style="thin">
        <color rgb="FF999999"/>
      </top>
      <bottom style="thin">
        <color rgb="FF999999"/>
      </bottom>
      <diagonal/>
    </border>
    <border>
      <left style="thick">
        <color rgb="FFBCBCBC"/>
      </left>
      <right style="thin">
        <color rgb="FFBCBCBC"/>
      </right>
      <top style="thin">
        <color rgb="FFBCBCBC"/>
      </top>
      <bottom style="thin">
        <color rgb="FFBCBCBC"/>
      </bottom>
      <diagonal/>
    </border>
    <border>
      <left style="thin">
        <color rgb="FFBCBCBC"/>
      </left>
      <right style="thick">
        <color rgb="FFBCBCBC"/>
      </right>
      <top style="thin">
        <color rgb="FFBCBCBC"/>
      </top>
      <bottom style="thin">
        <color rgb="FFBCBCBC"/>
      </bottom>
      <diagonal/>
    </border>
    <border>
      <left style="thick">
        <color rgb="FFBCBCBC"/>
      </left>
      <right style="thin">
        <color rgb="FF999999"/>
      </right>
      <top style="thin">
        <color rgb="FFBCBCBC"/>
      </top>
      <bottom/>
      <diagonal/>
    </border>
    <border>
      <left style="thin">
        <color rgb="FF999999"/>
      </left>
      <right style="thin">
        <color rgb="FF999999"/>
      </right>
      <top style="thin">
        <color rgb="FFBCBCBC"/>
      </top>
      <bottom/>
      <diagonal/>
    </border>
    <border>
      <left style="thin">
        <color rgb="FF999999"/>
      </left>
      <right style="thick">
        <color rgb="FFBCBCBC"/>
      </right>
      <top style="thin">
        <color rgb="FFBCBCBC"/>
      </top>
      <bottom/>
      <diagonal/>
    </border>
    <border>
      <left style="thin">
        <color rgb="FFBCBCBC"/>
      </left>
      <right/>
      <top style="thin">
        <color rgb="FF999999"/>
      </top>
      <bottom/>
      <diagonal/>
    </border>
    <border>
      <left style="thin">
        <color rgb="FFBCBCBC"/>
      </left>
      <right style="thick">
        <color rgb="FFBCBCBC"/>
      </right>
      <top style="thin">
        <color rgb="FFBCBCBC"/>
      </top>
      <bottom/>
      <diagonal/>
    </border>
    <border>
      <left style="thick">
        <color rgb="FFBCBCBC"/>
      </left>
      <right/>
      <top/>
      <bottom/>
      <diagonal/>
    </border>
    <border>
      <left style="thick">
        <color rgb="FFBCBCBC"/>
      </left>
      <right style="thin">
        <color rgb="FFBCBCBC"/>
      </right>
      <top/>
      <bottom style="thin">
        <color rgb="FFBCBCBC"/>
      </bottom>
      <diagonal/>
    </border>
    <border>
      <left style="thin">
        <color rgb="FFBCBCBC"/>
      </left>
      <right style="thick">
        <color rgb="FFBCBCBC"/>
      </right>
      <top/>
      <bottom style="thin">
        <color rgb="FFBCBCBC"/>
      </bottom>
      <diagonal/>
    </border>
    <border>
      <left/>
      <right style="thin">
        <color rgb="FFBCBCBC"/>
      </right>
      <top/>
      <bottom style="thin">
        <color rgb="FFBCBCBC"/>
      </bottom>
      <diagonal/>
    </border>
    <border>
      <left style="thick">
        <color rgb="FFBCBCBC"/>
      </left>
      <right style="thin">
        <color rgb="FFBCBCBC"/>
      </right>
      <top style="thin">
        <color rgb="FFBCBCBC"/>
      </top>
      <bottom/>
      <diagonal/>
    </border>
    <border>
      <left style="thin">
        <color rgb="FFBCBCBC"/>
      </left>
      <right/>
      <top style="thin">
        <color rgb="FFBCBCBC"/>
      </top>
      <bottom style="thin">
        <color rgb="FFD9D9D9"/>
      </bottom>
      <diagonal/>
    </border>
    <border>
      <left style="thin">
        <color rgb="FFBCBCBC"/>
      </left>
      <right/>
      <top style="thin">
        <color rgb="FFD9D9D9"/>
      </top>
      <bottom style="thin">
        <color rgb="FFD9D9D9"/>
      </bottom>
      <diagonal/>
    </border>
    <border>
      <left style="thin">
        <color rgb="FFBCBCBC"/>
      </left>
      <right/>
      <top style="thin">
        <color rgb="FFD9D9D9"/>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right style="thin">
        <color rgb="FFBCBCBC"/>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right/>
      <top style="thin">
        <color rgb="FFBFBFBF"/>
      </top>
      <bottom style="thin">
        <color rgb="FFBFBFBF"/>
      </bottom>
      <diagonal/>
    </border>
    <border>
      <left/>
      <right style="thick">
        <color theme="0" tint="-0.249977111117893"/>
      </right>
      <top/>
      <bottom/>
      <diagonal/>
    </border>
    <border>
      <left/>
      <right style="thin">
        <color theme="0" tint="-0.249977111117893"/>
      </right>
      <top style="thin">
        <color rgb="FFD9D9D9"/>
      </top>
      <bottom style="thin">
        <color theme="0" tint="-0.249977111117893"/>
      </bottom>
      <diagonal/>
    </border>
    <border>
      <left style="thin">
        <color theme="0" tint="-0.249977111117893"/>
      </left>
      <right style="thick">
        <color theme="0" tint="-0.249977111117893"/>
      </right>
      <top style="thin">
        <color rgb="FFD9D9D9"/>
      </top>
      <bottom style="thin">
        <color theme="0" tint="-0.249977111117893"/>
      </bottom>
      <diagonal/>
    </border>
    <border>
      <left/>
      <right style="thin">
        <color theme="0" tint="-0.249977111117893"/>
      </right>
      <top style="thin">
        <color theme="0" tint="-0.249977111117893"/>
      </top>
      <bottom style="thin">
        <color rgb="FFD9D9D9"/>
      </bottom>
      <diagonal/>
    </border>
    <border>
      <left style="thin">
        <color theme="0" tint="-0.249977111117893"/>
      </left>
      <right style="thick">
        <color theme="0" tint="-0.249977111117893"/>
      </right>
      <top style="thin">
        <color theme="0" tint="-0.249977111117893"/>
      </top>
      <bottom style="thin">
        <color rgb="FFD9D9D9"/>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bottom style="thin">
        <color rgb="FFBFBFBF"/>
      </bottom>
      <diagonal/>
    </border>
    <border>
      <left style="thick">
        <color theme="0" tint="-0.249977111117893"/>
      </left>
      <right/>
      <top/>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style="thick">
        <color theme="0" tint="-0.249977111117893"/>
      </right>
      <top style="thin">
        <color theme="0" tint="-0.249977111117893"/>
      </top>
      <bottom/>
      <diagonal/>
    </border>
    <border>
      <left style="thin">
        <color rgb="FFBFBFBF"/>
      </left>
      <right style="thin">
        <color rgb="FFBFBFBF"/>
      </right>
      <top/>
      <bottom style="thin">
        <color rgb="FFBFBFBF"/>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theme="0" tint="-0.249977111117893"/>
      </left>
      <right style="thin">
        <color rgb="FF000000"/>
      </right>
      <top style="thin">
        <color theme="0" tint="-0.249977111117893"/>
      </top>
      <bottom style="thin">
        <color theme="0" tint="-0.249977111117893"/>
      </bottom>
      <diagonal/>
    </border>
    <border>
      <left style="thin">
        <color rgb="FF000000"/>
      </left>
      <right style="thin">
        <color theme="0" tint="-0.249977111117893"/>
      </right>
      <top style="thin">
        <color theme="0" tint="-0.249977111117893"/>
      </top>
      <bottom style="thin">
        <color theme="0" tint="-0.249977111117893"/>
      </bottom>
      <diagonal/>
    </border>
    <border>
      <left style="thin">
        <color theme="0" tint="-0.249977111117893"/>
      </left>
      <right style="thin">
        <color rgb="FF000000"/>
      </right>
      <top style="thin">
        <color theme="0" tint="-0.249977111117893"/>
      </top>
      <bottom style="thin">
        <color rgb="FF000000"/>
      </bottom>
      <diagonal/>
    </border>
    <border>
      <left style="thin">
        <color rgb="FF000000"/>
      </left>
      <right style="thin">
        <color rgb="FF000000"/>
      </right>
      <top style="thin">
        <color theme="0" tint="-0.249977111117893"/>
      </top>
      <bottom style="thin">
        <color rgb="FF000000"/>
      </bottom>
      <diagonal/>
    </border>
    <border>
      <left style="thin">
        <color rgb="FF000000"/>
      </left>
      <right style="thin">
        <color theme="0" tint="-0.249977111117893"/>
      </right>
      <top style="thin">
        <color theme="0" tint="-0.249977111117893"/>
      </top>
      <bottom style="thin">
        <color rgb="FF000000"/>
      </bottom>
      <diagonal/>
    </border>
    <border>
      <left style="thin">
        <color theme="0" tint="-0.249977111117893"/>
      </left>
      <right style="thin">
        <color rgb="FF000000"/>
      </right>
      <top style="thin">
        <color rgb="FF000000"/>
      </top>
      <bottom style="thin">
        <color theme="0" tint="-0.249977111117893"/>
      </bottom>
      <diagonal/>
    </border>
    <border>
      <left style="thin">
        <color rgb="FF000000"/>
      </left>
      <right style="thin">
        <color rgb="FF000000"/>
      </right>
      <top style="thin">
        <color rgb="FF000000"/>
      </top>
      <bottom style="thin">
        <color theme="0" tint="-0.249977111117893"/>
      </bottom>
      <diagonal/>
    </border>
    <border>
      <left style="thin">
        <color rgb="FF000000"/>
      </left>
      <right style="thin">
        <color theme="0" tint="-0.249977111117893"/>
      </right>
      <top style="thin">
        <color rgb="FF000000"/>
      </top>
      <bottom style="thin">
        <color theme="0" tint="-0.24997711111789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000000"/>
      </right>
      <top style="thin">
        <color theme="0" tint="-4.9989318521683403E-2"/>
      </top>
      <bottom style="thin">
        <color theme="0" tint="-4.9989318521683403E-2"/>
      </bottom>
      <diagonal/>
    </border>
    <border>
      <left style="thin">
        <color rgb="FF000000"/>
      </left>
      <right style="thin">
        <color rgb="FF000000"/>
      </right>
      <top style="thin">
        <color theme="0" tint="-4.9989318521683403E-2"/>
      </top>
      <bottom style="thin">
        <color theme="0" tint="-4.9989318521683403E-2"/>
      </bottom>
      <diagonal/>
    </border>
    <border>
      <left style="thin">
        <color rgb="FF000000"/>
      </left>
      <right/>
      <top style="thin">
        <color theme="0" tint="-4.9989318521683403E-2"/>
      </top>
      <bottom style="thin">
        <color theme="0" tint="-4.9989318521683403E-2"/>
      </bottom>
      <diagonal/>
    </border>
    <border>
      <left style="thin">
        <color theme="0" tint="-4.9989318521683403E-2"/>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4.9989318521683403E-2"/>
      </top>
      <bottom/>
      <diagonal/>
    </border>
    <border>
      <left/>
      <right/>
      <top style="thin">
        <color theme="0" tint="-4.9989318521683403E-2"/>
      </top>
      <bottom/>
      <diagonal/>
    </border>
    <border>
      <left/>
      <right style="thin">
        <color theme="0" tint="-0.249977111117893"/>
      </right>
      <top style="thin">
        <color theme="0" tint="-4.9989318521683403E-2"/>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medium">
        <color rgb="FFBCBCBC"/>
      </right>
      <top style="thin">
        <color theme="0" tint="-0.249977111117893"/>
      </top>
      <bottom/>
      <diagonal/>
    </border>
    <border>
      <left style="thin">
        <color theme="0" tint="-0.249977111117893"/>
      </left>
      <right style="medium">
        <color rgb="FFBCBCBC"/>
      </right>
      <top/>
      <bottom/>
      <diagonal/>
    </border>
    <border>
      <left style="thin">
        <color theme="0" tint="-0.249977111117893"/>
      </left>
      <right style="medium">
        <color rgb="FFBCBCBC"/>
      </right>
      <top/>
      <bottom style="medium">
        <color rgb="FFBCBCBC"/>
      </bottom>
      <diagonal/>
    </border>
    <border>
      <left style="thin">
        <color rgb="FFBCBCBC"/>
      </left>
      <right/>
      <top style="thin">
        <color rgb="FFBCBCBC"/>
      </top>
      <bottom style="thin">
        <color theme="0" tint="-0.249977111117893"/>
      </bottom>
      <diagonal/>
    </border>
    <border>
      <left/>
      <right style="thin">
        <color rgb="FFBCBCBC"/>
      </right>
      <top style="thin">
        <color rgb="FFBCBCBC"/>
      </top>
      <bottom style="thin">
        <color theme="0" tint="-0.249977111117893"/>
      </bottom>
      <diagonal/>
    </border>
    <border>
      <left/>
      <right/>
      <top style="thin">
        <color rgb="FFBCBCBC"/>
      </top>
      <bottom style="thin">
        <color theme="0" tint="-0.249977111117893"/>
      </bottom>
      <diagonal/>
    </border>
    <border>
      <left style="thin">
        <color rgb="FFBCBCBC"/>
      </left>
      <right style="thin">
        <color rgb="FFBCBCBC"/>
      </right>
      <top style="thin">
        <color rgb="FFBCBCBC"/>
      </top>
      <bottom style="thin">
        <color theme="0" tint="-0.249977111117893"/>
      </bottom>
      <diagonal/>
    </border>
    <border>
      <left style="thin">
        <color rgb="FFBCBCBC"/>
      </left>
      <right style="thin">
        <color rgb="FFBCBCBC"/>
      </right>
      <top/>
      <bottom style="thin">
        <color theme="0" tint="-0.249977111117893"/>
      </bottom>
      <diagonal/>
    </border>
    <border>
      <left/>
      <right style="thin">
        <color rgb="FFBCBCBC"/>
      </right>
      <top/>
      <bottom style="thin">
        <color theme="0" tint="-0.249977111117893"/>
      </bottom>
      <diagonal/>
    </border>
    <border>
      <left style="thin">
        <color theme="0" tint="-0.249977111117893"/>
      </left>
      <right style="thin">
        <color rgb="FFC0C0C0"/>
      </right>
      <top style="thin">
        <color theme="0" tint="-0.249977111117893"/>
      </top>
      <bottom/>
      <diagonal/>
    </border>
    <border>
      <left style="thin">
        <color theme="0" tint="-0.249977111117893"/>
      </left>
      <right style="thin">
        <color rgb="FFC0C0C0"/>
      </right>
      <top/>
      <bottom/>
      <diagonal/>
    </border>
    <border>
      <left style="thin">
        <color theme="0" tint="-0.249977111117893"/>
      </left>
      <right style="thin">
        <color rgb="FFC0C0C0"/>
      </right>
      <top/>
      <bottom style="thin">
        <color theme="0" tint="-0.249977111117893"/>
      </bottom>
      <diagonal/>
    </border>
    <border>
      <left style="thin">
        <color theme="0" tint="-0.34998626667073579"/>
      </left>
      <right/>
      <top/>
      <bottom/>
      <diagonal/>
    </border>
    <border>
      <left style="thin">
        <color rgb="FFBCBCBC"/>
      </left>
      <right/>
      <top style="thin">
        <color theme="0" tint="-0.249977111117893"/>
      </top>
      <bottom/>
      <diagonal/>
    </border>
    <border>
      <left style="thin">
        <color theme="0" tint="-0.249977111117893"/>
      </left>
      <right style="thin">
        <color rgb="FFBCBCBC"/>
      </right>
      <top style="thin">
        <color rgb="FFBCBCBC"/>
      </top>
      <bottom style="thin">
        <color rgb="FF000000"/>
      </bottom>
      <diagonal/>
    </border>
    <border>
      <left style="thin">
        <color theme="0" tint="-0.249977111117893"/>
      </left>
      <right style="thin">
        <color rgb="FFBCBCBC"/>
      </right>
      <top style="thin">
        <color rgb="FF000000"/>
      </top>
      <bottom style="thin">
        <color rgb="FF000000"/>
      </bottom>
      <diagonal/>
    </border>
    <border>
      <left style="thin">
        <color theme="0" tint="-0.249977111117893"/>
      </left>
      <right/>
      <top style="thin">
        <color rgb="FF000000"/>
      </top>
      <bottom/>
      <diagonal/>
    </border>
    <border>
      <left style="thin">
        <color theme="0" tint="-0.249977111117893"/>
      </left>
      <right style="thin">
        <color theme="0" tint="-0.249977111117893"/>
      </right>
      <top style="thin">
        <color rgb="FFBCBCBC"/>
      </top>
      <bottom/>
      <diagonal/>
    </border>
    <border>
      <left/>
      <right style="thin">
        <color theme="0" tint="-0.249977111117893"/>
      </right>
      <top style="thin">
        <color rgb="FFBCBCBC"/>
      </top>
      <bottom/>
      <diagonal/>
    </border>
    <border>
      <left style="thin">
        <color theme="0" tint="-0.249977111117893"/>
      </left>
      <right/>
      <top style="thin">
        <color rgb="FFBCBCBC"/>
      </top>
      <bottom style="thin">
        <color theme="0" tint="-0.249977111117893"/>
      </bottom>
      <diagonal/>
    </border>
    <border>
      <left style="thin">
        <color rgb="FFBCBCBC"/>
      </left>
      <right style="thin">
        <color theme="0" tint="-0.249977111117893"/>
      </right>
      <top style="thin">
        <color rgb="FFBCBCBC"/>
      </top>
      <bottom style="thin">
        <color theme="0" tint="-0.249977111117893"/>
      </bottom>
      <diagonal/>
    </border>
    <border>
      <left style="thin">
        <color theme="0" tint="-0.249977111117893"/>
      </left>
      <right style="thin">
        <color theme="0" tint="-0.249977111117893"/>
      </right>
      <top/>
      <bottom style="thin">
        <color rgb="FFBCBCBC"/>
      </bottom>
      <diagonal/>
    </border>
    <border>
      <left style="thin">
        <color rgb="FFBFBFBF"/>
      </left>
      <right style="thin">
        <color theme="0" tint="-0.249977111117893"/>
      </right>
      <top style="thin">
        <color theme="0" tint="-0.249977111117893"/>
      </top>
      <bottom/>
      <diagonal/>
    </border>
    <border>
      <left style="thin">
        <color rgb="FFBFBFBF"/>
      </left>
      <right style="thin">
        <color theme="0" tint="-0.249977111117893"/>
      </right>
      <top/>
      <bottom/>
      <diagonal/>
    </border>
    <border>
      <left style="thin">
        <color rgb="FFBFBFBF"/>
      </left>
      <right style="thin">
        <color theme="0" tint="-0.249977111117893"/>
      </right>
      <top/>
      <bottom style="thin">
        <color theme="0" tint="-0.249977111117893"/>
      </bottom>
      <diagonal/>
    </border>
    <border>
      <left style="thin">
        <color rgb="FFBFBFBF"/>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rgb="FFBCBCBC"/>
      </bottom>
      <diagonal/>
    </border>
    <border>
      <left style="thin">
        <color theme="0" tint="-0.249977111117893"/>
      </left>
      <right style="thin">
        <color rgb="FFBCBCBC"/>
      </right>
      <top style="thin">
        <color theme="0" tint="-0.249977111117893"/>
      </top>
      <bottom style="thin">
        <color theme="0" tint="-0.249977111117893"/>
      </bottom>
      <diagonal/>
    </border>
    <border>
      <left style="thin">
        <color rgb="FFBCBCBC"/>
      </left>
      <right style="thin">
        <color rgb="FFBCBCBC"/>
      </right>
      <top style="thin">
        <color theme="0" tint="-0.249977111117893"/>
      </top>
      <bottom style="thin">
        <color theme="0" tint="-0.249977111117893"/>
      </bottom>
      <diagonal/>
    </border>
    <border>
      <left style="thin">
        <color rgb="FFBCBCBC"/>
      </left>
      <right style="thin">
        <color theme="0" tint="-0.249977111117893"/>
      </right>
      <top style="thin">
        <color theme="0" tint="-0.249977111117893"/>
      </top>
      <bottom style="thin">
        <color theme="0" tint="-0.249977111117893"/>
      </bottom>
      <diagonal/>
    </border>
    <border>
      <left style="thin">
        <color theme="0" tint="-0.249977111117893"/>
      </left>
      <right style="thin">
        <color rgb="FFBCBCBC"/>
      </right>
      <top style="thin">
        <color theme="0" tint="-0.249977111117893"/>
      </top>
      <bottom/>
      <diagonal/>
    </border>
    <border>
      <left style="thin">
        <color rgb="FFBCBCBC"/>
      </left>
      <right style="thin">
        <color rgb="FFBCBCBC"/>
      </right>
      <top style="thin">
        <color theme="0" tint="-0.249977111117893"/>
      </top>
      <bottom style="thin">
        <color rgb="FFBCBCBC"/>
      </bottom>
      <diagonal/>
    </border>
    <border>
      <left style="thin">
        <color rgb="FFBCBCBC"/>
      </left>
      <right/>
      <top style="thin">
        <color theme="0" tint="-0.249977111117893"/>
      </top>
      <bottom style="thin">
        <color rgb="FFBCBCBC"/>
      </bottom>
      <diagonal/>
    </border>
    <border>
      <left style="thin">
        <color theme="0" tint="-0.249977111117893"/>
      </left>
      <right style="thin">
        <color rgb="FFBCBCBC"/>
      </right>
      <top/>
      <bottom style="thin">
        <color theme="0" tint="-0.249977111117893"/>
      </bottom>
      <diagonal/>
    </border>
    <border>
      <left/>
      <right/>
      <top style="thin">
        <color rgb="FFD9D9D9"/>
      </top>
      <bottom style="thin">
        <color rgb="FFD9D9D9"/>
      </bottom>
      <diagonal/>
    </border>
    <border>
      <left/>
      <right/>
      <top style="thin">
        <color rgb="FFD9D9D9"/>
      </top>
      <bottom style="thin">
        <color theme="0" tint="-0.249977111117893"/>
      </bottom>
      <diagonal/>
    </border>
    <border>
      <left style="thin">
        <color theme="0" tint="-0.249977111117893"/>
      </left>
      <right style="thin">
        <color rgb="FFBCBCBC"/>
      </right>
      <top style="thin">
        <color rgb="FFBCBCBC"/>
      </top>
      <bottom style="thin">
        <color theme="0" tint="-0.249977111117893"/>
      </bottom>
      <diagonal/>
    </border>
    <border>
      <left style="thin">
        <color rgb="FFBCBCBC"/>
      </left>
      <right style="medium">
        <color theme="0" tint="-0.499984740745262"/>
      </right>
      <top style="thin">
        <color theme="0" tint="-0.249977111117893"/>
      </top>
      <bottom/>
      <diagonal/>
    </border>
    <border>
      <left style="thin">
        <color rgb="FFBCBCBC"/>
      </left>
      <right style="medium">
        <color theme="0" tint="-0.499984740745262"/>
      </right>
      <top style="thin">
        <color rgb="FFBCBCBC"/>
      </top>
      <bottom/>
      <diagonal/>
    </border>
    <border>
      <left/>
      <right/>
      <top style="thin">
        <color rgb="FFBCBCBC"/>
      </top>
      <bottom style="medium">
        <color theme="0" tint="-0.499984740745262"/>
      </bottom>
      <diagonal/>
    </border>
    <border>
      <left style="thin">
        <color rgb="FFBCBCBC"/>
      </left>
      <right/>
      <top style="thin">
        <color rgb="FFBCBCBC"/>
      </top>
      <bottom style="medium">
        <color theme="0" tint="-0.499984740745262"/>
      </bottom>
      <diagonal/>
    </border>
    <border>
      <left style="thin">
        <color rgb="FFBCBCBC"/>
      </left>
      <right style="medium">
        <color theme="0" tint="-0.499984740745262"/>
      </right>
      <top style="thin">
        <color rgb="FFBCBCBC"/>
      </top>
      <bottom style="medium">
        <color theme="0" tint="-0.499984740745262"/>
      </bottom>
      <diagonal/>
    </border>
    <border>
      <left style="thin">
        <color rgb="FFBCBCBC"/>
      </left>
      <right style="thin">
        <color rgb="FFBCBCBC"/>
      </right>
      <top style="thin">
        <color rgb="FFBCBCBC"/>
      </top>
      <bottom style="medium">
        <color theme="0" tint="-0.499984740745262"/>
      </bottom>
      <diagonal/>
    </border>
    <border>
      <left/>
      <right/>
      <top style="medium">
        <color theme="0" tint="-0.499984740745262"/>
      </top>
      <bottom/>
      <diagonal/>
    </border>
    <border>
      <left style="thin">
        <color rgb="FFBCBCBC"/>
      </left>
      <right/>
      <top style="medium">
        <color theme="0" tint="-0.499984740745262"/>
      </top>
      <bottom/>
      <diagonal/>
    </border>
    <border>
      <left style="thin">
        <color rgb="FFBCBCBC"/>
      </left>
      <right style="medium">
        <color theme="0" tint="-0.499984740745262"/>
      </right>
      <top style="medium">
        <color theme="0" tint="-0.499984740745262"/>
      </top>
      <bottom/>
      <diagonal/>
    </border>
    <border>
      <left style="thin">
        <color rgb="FFBCBCBC"/>
      </left>
      <right style="thin">
        <color rgb="FFBCBCBC"/>
      </right>
      <top style="medium">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style="thin">
        <color rgb="FFBCBCBC"/>
      </right>
      <top style="thick">
        <color rgb="FFBCBCBC"/>
      </top>
      <bottom style="thin">
        <color rgb="FFBCBCBC"/>
      </bottom>
      <diagonal/>
    </border>
    <border>
      <left style="thin">
        <color rgb="FFBCBCBC"/>
      </left>
      <right style="thin">
        <color rgb="FFBCBCBC"/>
      </right>
      <top style="thick">
        <color rgb="FFBCBCBC"/>
      </top>
      <bottom style="thin">
        <color rgb="FFBCBCBC"/>
      </bottom>
      <diagonal/>
    </border>
    <border>
      <left style="thin">
        <color rgb="FFA9A9A9"/>
      </left>
      <right style="thin">
        <color rgb="FFA9A9A9"/>
      </right>
      <top style="thin">
        <color rgb="FFA9A9A9"/>
      </top>
      <bottom style="thin">
        <color rgb="FFA9A9A9"/>
      </bottom>
      <diagonal/>
    </border>
    <border>
      <left style="thin">
        <color rgb="FFA9A9A9"/>
      </left>
      <right style="thin">
        <color rgb="FFA9A9A9"/>
      </right>
      <top style="thin">
        <color rgb="FFA9A9A9"/>
      </top>
      <bottom/>
      <diagonal/>
    </border>
    <border>
      <left style="thin">
        <color rgb="FFA9A9A9"/>
      </left>
      <right style="thin">
        <color rgb="FFA9A9A9"/>
      </right>
      <top/>
      <bottom style="thin">
        <color rgb="FFA9A9A9"/>
      </bottom>
      <diagonal/>
    </border>
    <border>
      <left style="thin">
        <color rgb="FFA9A9A9"/>
      </left>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theme="0" tint="-0.249977111117893"/>
      </left>
      <right style="thin">
        <color rgb="FFA9A9A9"/>
      </right>
      <top style="thin">
        <color theme="0" tint="-0.249977111117893"/>
      </top>
      <bottom style="thin">
        <color rgb="FFA9A9A9"/>
      </bottom>
      <diagonal/>
    </border>
    <border>
      <left style="thin">
        <color rgb="FFA9A9A9"/>
      </left>
      <right style="thin">
        <color rgb="FFA9A9A9"/>
      </right>
      <top style="thin">
        <color theme="0" tint="-0.249977111117893"/>
      </top>
      <bottom style="thin">
        <color rgb="FFA9A9A9"/>
      </bottom>
      <diagonal/>
    </border>
    <border>
      <left style="thin">
        <color theme="0" tint="-0.249977111117893"/>
      </left>
      <right style="thin">
        <color rgb="FFA9A9A9"/>
      </right>
      <top style="thin">
        <color rgb="FFA9A9A9"/>
      </top>
      <bottom style="thin">
        <color rgb="FFA9A9A9"/>
      </bottom>
      <diagonal/>
    </border>
    <border>
      <left style="thin">
        <color rgb="FFA9A9A9"/>
      </left>
      <right style="thin">
        <color theme="0" tint="-0.249977111117893"/>
      </right>
      <top style="thin">
        <color rgb="FFA9A9A9"/>
      </top>
      <bottom style="thin">
        <color rgb="FFA9A9A9"/>
      </bottom>
      <diagonal/>
    </border>
    <border>
      <left style="thin">
        <color theme="0" tint="-0.249977111117893"/>
      </left>
      <right style="thin">
        <color rgb="FFA9A9A9"/>
      </right>
      <top style="thin">
        <color rgb="FFA9A9A9"/>
      </top>
      <bottom style="thin">
        <color theme="0" tint="-0.249977111117893"/>
      </bottom>
      <diagonal/>
    </border>
    <border>
      <left style="thin">
        <color rgb="FFA9A9A9"/>
      </left>
      <right style="thin">
        <color rgb="FFA9A9A9"/>
      </right>
      <top style="thin">
        <color rgb="FFA9A9A9"/>
      </top>
      <bottom style="thin">
        <color theme="0" tint="-0.249977111117893"/>
      </bottom>
      <diagonal/>
    </border>
    <border>
      <left style="thin">
        <color rgb="FFA9A9A9"/>
      </left>
      <right style="thin">
        <color theme="0" tint="-0.249977111117893"/>
      </right>
      <top style="thin">
        <color rgb="FFA9A9A9"/>
      </top>
      <bottom style="thin">
        <color theme="0" tint="-0.249977111117893"/>
      </bottom>
      <diagonal/>
    </border>
    <border>
      <left style="thin">
        <color rgb="FFC0C0C0"/>
      </left>
      <right/>
      <top/>
      <bottom style="thin">
        <color rgb="FFC0C0C0"/>
      </bottom>
      <diagonal/>
    </border>
    <border>
      <left/>
      <right/>
      <top/>
      <bottom style="thin">
        <color rgb="FFC0C0C0"/>
      </bottom>
      <diagonal/>
    </border>
    <border>
      <left/>
      <right/>
      <top/>
      <bottom style="thin">
        <color rgb="FFAAAAAA"/>
      </bottom>
      <diagonal/>
    </border>
    <border>
      <left/>
      <right style="thin">
        <color rgb="FFAAAAAA"/>
      </right>
      <top/>
      <bottom style="thin">
        <color rgb="FFAAAAAA"/>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
      <left/>
      <right style="thin">
        <color theme="0" tint="-0.249977111117893"/>
      </right>
      <top style="thin">
        <color rgb="FFBCBCBC"/>
      </top>
      <bottom style="thin">
        <color theme="0" tint="-0.249977111117893"/>
      </bottom>
      <diagonal/>
    </border>
    <border>
      <left/>
      <right style="thin">
        <color rgb="FFBCBCBC"/>
      </right>
      <top style="thin">
        <color theme="0" tint="-0.249977111117893"/>
      </top>
      <bottom style="thin">
        <color rgb="FFBCBCBC"/>
      </bottom>
      <diagonal/>
    </border>
    <border>
      <left style="thin">
        <color rgb="FFBCBCBC"/>
      </left>
      <right style="thin">
        <color theme="0" tint="-0.249977111117893"/>
      </right>
      <top style="thin">
        <color theme="0" tint="-0.249977111117893"/>
      </top>
      <bottom style="thin">
        <color rgb="FFBCBCBC"/>
      </bottom>
      <diagonal/>
    </border>
    <border>
      <left style="thin">
        <color theme="0" tint="-0.249977111117893"/>
      </left>
      <right style="thin">
        <color rgb="FFBCBCBC"/>
      </right>
      <top style="thin">
        <color theme="0" tint="-0.249977111117893"/>
      </top>
      <bottom style="thin">
        <color rgb="FF000000"/>
      </bottom>
      <diagonal/>
    </border>
    <border>
      <left style="thin">
        <color theme="0" tint="-0.249977111117893"/>
      </left>
      <right/>
      <top style="thin">
        <color rgb="FF000000"/>
      </top>
      <bottom style="thin">
        <color theme="0" tint="-0.249977111117893"/>
      </bottom>
      <diagonal/>
    </border>
    <border>
      <left style="medium">
        <color rgb="FFCCCCCC"/>
      </left>
      <right style="medium">
        <color rgb="FFCCCCCC"/>
      </right>
      <top style="medium">
        <color rgb="FFCCCCCC"/>
      </top>
      <bottom style="medium">
        <color rgb="FFCCCCCC"/>
      </bottom>
      <diagonal/>
    </border>
  </borders>
  <cellStyleXfs count="2542">
    <xf numFmtId="0" fontId="0" fillId="0" borderId="0" applyFill="0" applyBorder="0">
      <alignment vertical="top"/>
    </xf>
    <xf numFmtId="0" fontId="1" fillId="0" borderId="0" applyFill="0" applyBorder="0">
      <alignment vertical="center" wrapText="1"/>
    </xf>
    <xf numFmtId="0" fontId="76" fillId="0" borderId="0" applyFill="0" applyBorder="0">
      <alignment vertical="top"/>
    </xf>
    <xf numFmtId="0" fontId="2" fillId="0" borderId="0" applyFill="0" applyBorder="0">
      <alignment vertical="center" wrapText="1"/>
    </xf>
    <xf numFmtId="49" fontId="2" fillId="0" borderId="1" applyFill="0">
      <alignment horizontal="left" vertical="center" wrapText="1"/>
    </xf>
    <xf numFmtId="49" fontId="2" fillId="0" borderId="2" applyFill="0">
      <alignment horizontal="left" vertical="center" wrapText="1"/>
    </xf>
    <xf numFmtId="49" fontId="2" fillId="0" borderId="3" applyFill="0">
      <alignment horizontal="left" vertical="center" wrapText="1"/>
    </xf>
    <xf numFmtId="49" fontId="3" fillId="0" borderId="0" applyFill="0" applyBorder="0">
      <alignment vertical="center" wrapText="1"/>
    </xf>
    <xf numFmtId="49" fontId="2" fillId="0" borderId="4" applyFill="0">
      <alignment vertical="center" wrapText="1"/>
    </xf>
    <xf numFmtId="0" fontId="3" fillId="0" borderId="1" applyFill="0">
      <alignment vertical="center" wrapText="1"/>
    </xf>
    <xf numFmtId="0" fontId="3" fillId="0" borderId="4" applyFill="0">
      <alignment vertical="center" wrapText="1"/>
    </xf>
    <xf numFmtId="49" fontId="2" fillId="2" borderId="4">
      <alignment vertical="center" wrapText="1"/>
    </xf>
    <xf numFmtId="49" fontId="2" fillId="0" borderId="1" applyFill="0">
      <alignment horizontal="center" vertical="center" wrapText="1"/>
    </xf>
    <xf numFmtId="49" fontId="2" fillId="0" borderId="2" applyFill="0">
      <alignment horizontal="center" vertical="center" wrapText="1"/>
    </xf>
    <xf numFmtId="49" fontId="2" fillId="0" borderId="3" applyFill="0">
      <alignment horizontal="center" vertical="center" wrapText="1"/>
    </xf>
    <xf numFmtId="49" fontId="4" fillId="0" borderId="4" applyFill="0">
      <alignment vertical="center" wrapText="1"/>
    </xf>
    <xf numFmtId="3" fontId="3" fillId="0" borderId="4" applyFill="0">
      <alignment vertical="center" wrapText="1"/>
    </xf>
    <xf numFmtId="0" fontId="3" fillId="0" borderId="5" applyFill="0">
      <alignment horizontal="center" vertical="center" wrapText="1"/>
    </xf>
    <xf numFmtId="49" fontId="2" fillId="0" borderId="0" applyFill="0" applyBorder="0">
      <alignment horizontal="center" vertical="center" wrapText="1"/>
    </xf>
    <xf numFmtId="0" fontId="3" fillId="3" borderId="4">
      <alignment horizontal="center" vertical="center" wrapText="1"/>
      <protection locked="0"/>
    </xf>
    <xf numFmtId="49" fontId="3" fillId="3" borderId="4">
      <alignment horizontal="center" vertical="center" wrapText="1"/>
      <protection locked="0"/>
    </xf>
    <xf numFmtId="49" fontId="5" fillId="0" borderId="0" applyFill="0" applyBorder="0">
      <alignment wrapText="1"/>
    </xf>
    <xf numFmtId="0" fontId="6" fillId="0" borderId="0" applyFill="0" applyBorder="0">
      <alignment horizontal="left" vertical="center" wrapText="1"/>
    </xf>
    <xf numFmtId="0" fontId="7" fillId="4" borderId="6">
      <alignment horizontal="center" vertical="center" wrapText="1"/>
    </xf>
    <xf numFmtId="0" fontId="7" fillId="4" borderId="7">
      <alignment horizontal="center" vertical="center" wrapText="1"/>
    </xf>
    <xf numFmtId="0" fontId="7" fillId="4" borderId="8">
      <alignment horizontal="center" vertical="center" wrapText="1"/>
    </xf>
    <xf numFmtId="0" fontId="7" fillId="5" borderId="9">
      <alignment horizontal="right" vertical="center" wrapText="1"/>
    </xf>
    <xf numFmtId="0" fontId="7" fillId="5" borderId="10">
      <alignment horizontal="right" vertical="center" wrapText="1"/>
    </xf>
    <xf numFmtId="0" fontId="8" fillId="0" borderId="9" applyFill="0">
      <alignment wrapText="1"/>
    </xf>
    <xf numFmtId="0" fontId="1" fillId="6" borderId="11">
      <alignment horizontal="center" vertical="center" wrapText="1"/>
      <protection locked="0"/>
    </xf>
    <xf numFmtId="0" fontId="9" fillId="0" borderId="9" applyFill="0">
      <alignment vertical="center" wrapText="1"/>
    </xf>
    <xf numFmtId="0" fontId="1" fillId="7" borderId="11">
      <alignment horizontal="center" vertical="center" wrapText="1"/>
    </xf>
    <xf numFmtId="0" fontId="9" fillId="0" borderId="9" applyFill="0">
      <alignment horizontal="left" vertical="center" wrapText="1"/>
    </xf>
    <xf numFmtId="0" fontId="1" fillId="8" borderId="11">
      <alignment horizontal="center" vertical="center" wrapText="1"/>
    </xf>
    <xf numFmtId="0" fontId="1" fillId="3" borderId="11">
      <alignment horizontal="center" vertical="center" wrapText="1"/>
      <protection locked="0"/>
    </xf>
    <xf numFmtId="0" fontId="7" fillId="5" borderId="0" applyBorder="0">
      <alignment horizontal="right" vertical="center" wrapText="1"/>
    </xf>
    <xf numFmtId="0" fontId="10" fillId="0" borderId="9" applyFill="0">
      <alignment horizontal="left" vertical="center" wrapText="1"/>
    </xf>
    <xf numFmtId="0" fontId="10" fillId="0" borderId="12" applyFill="0">
      <alignment horizontal="left" vertical="center" wrapText="1"/>
    </xf>
    <xf numFmtId="0" fontId="7" fillId="5" borderId="11">
      <alignment horizontal="right" vertical="center" wrapText="1"/>
    </xf>
    <xf numFmtId="0" fontId="7" fillId="5" borderId="13">
      <alignment horizontal="right" vertical="center" wrapText="1"/>
    </xf>
    <xf numFmtId="0" fontId="9" fillId="0" borderId="9" applyFill="0">
      <alignment wrapText="1"/>
    </xf>
    <xf numFmtId="0" fontId="9" fillId="0" borderId="0" applyFill="0" applyBorder="0">
      <alignment vertical="center" wrapText="1"/>
    </xf>
    <xf numFmtId="0" fontId="9" fillId="0" borderId="0" applyFill="0" applyBorder="0">
      <alignment vertical="top" wrapText="1"/>
    </xf>
    <xf numFmtId="0" fontId="7" fillId="5" borderId="14">
      <alignment horizontal="right" vertical="center" wrapText="1"/>
    </xf>
    <xf numFmtId="0" fontId="7" fillId="5" borderId="15">
      <alignment horizontal="right" vertical="center" wrapText="1"/>
    </xf>
    <xf numFmtId="0" fontId="8" fillId="0" borderId="14" applyFill="0">
      <alignment wrapText="1"/>
    </xf>
    <xf numFmtId="0" fontId="8" fillId="0" borderId="15" applyFill="0">
      <alignment wrapText="1"/>
    </xf>
    <xf numFmtId="0" fontId="8" fillId="0" borderId="15" applyFill="0">
      <alignment vertical="center" wrapText="1"/>
    </xf>
    <xf numFmtId="0" fontId="9" fillId="0" borderId="12" applyFill="0">
      <alignment horizontal="left" vertical="top" wrapText="1"/>
    </xf>
    <xf numFmtId="0" fontId="76" fillId="0" borderId="0" applyFill="0" applyBorder="0">
      <alignment vertical="top" wrapText="1"/>
    </xf>
    <xf numFmtId="0" fontId="3" fillId="9" borderId="0" applyBorder="0">
      <alignment vertical="center" wrapText="1"/>
    </xf>
    <xf numFmtId="0" fontId="3" fillId="0" borderId="5" applyFill="0">
      <alignment horizontal="left" vertical="center" wrapText="1"/>
    </xf>
    <xf numFmtId="0" fontId="3" fillId="9" borderId="0" applyBorder="0">
      <alignment horizontal="center" vertical="center" wrapText="1"/>
    </xf>
    <xf numFmtId="0" fontId="3" fillId="9" borderId="0" applyBorder="0">
      <alignment horizontal="right" vertical="center" wrapText="1"/>
    </xf>
    <xf numFmtId="0" fontId="3" fillId="8" borderId="4">
      <alignment horizontal="center" vertical="center" wrapText="1"/>
    </xf>
    <xf numFmtId="14" fontId="11" fillId="9" borderId="0" applyBorder="0">
      <alignment horizontal="center" vertical="center" wrapText="1"/>
    </xf>
    <xf numFmtId="49" fontId="3" fillId="9" borderId="0" applyBorder="0">
      <alignment horizontal="right" vertical="center" wrapText="1"/>
    </xf>
    <xf numFmtId="49" fontId="3" fillId="8" borderId="4">
      <alignment horizontal="center" vertical="center" wrapText="1"/>
    </xf>
    <xf numFmtId="49" fontId="3" fillId="8" borderId="16">
      <alignment horizontal="center" vertical="center" wrapText="1"/>
    </xf>
    <xf numFmtId="0" fontId="1" fillId="0" borderId="0" applyFill="0" applyBorder="0">
      <alignment horizontal="right" vertical="center" wrapText="1"/>
    </xf>
    <xf numFmtId="0" fontId="3" fillId="0" borderId="0" applyFill="0" applyBorder="0">
      <alignment horizontal="right" vertical="center" wrapText="1"/>
    </xf>
    <xf numFmtId="168" fontId="3" fillId="8" borderId="16">
      <alignment horizontal="center" vertical="center" wrapText="1"/>
    </xf>
    <xf numFmtId="49" fontId="3" fillId="8" borderId="16">
      <alignment horizontal="center" vertical="center" wrapText="1"/>
    </xf>
    <xf numFmtId="168" fontId="3" fillId="8" borderId="16">
      <alignment horizontal="center" vertical="center" wrapText="1"/>
    </xf>
    <xf numFmtId="0" fontId="3" fillId="0" borderId="0" applyFill="0" applyBorder="0">
      <alignment vertical="center" wrapText="1"/>
    </xf>
    <xf numFmtId="0" fontId="12" fillId="0" borderId="0" applyFill="0" applyBorder="0">
      <alignment vertical="top" wrapText="1"/>
    </xf>
    <xf numFmtId="0" fontId="3" fillId="8" borderId="16">
      <alignment horizontal="center" vertical="center" wrapText="1"/>
    </xf>
    <xf numFmtId="3" fontId="3" fillId="6" borderId="16">
      <alignment horizontal="center" vertical="center" wrapText="1"/>
      <protection locked="0"/>
    </xf>
    <xf numFmtId="0" fontId="3" fillId="0" borderId="17" applyFill="0">
      <alignment vertical="center" wrapText="1"/>
    </xf>
    <xf numFmtId="49" fontId="3" fillId="9" borderId="17">
      <alignment horizontal="center" vertical="center" wrapText="1"/>
    </xf>
    <xf numFmtId="49" fontId="3" fillId="6" borderId="16">
      <alignment horizontal="center" vertical="center" wrapText="1"/>
      <protection locked="0"/>
    </xf>
    <xf numFmtId="49" fontId="3" fillId="9" borderId="0" applyBorder="0">
      <alignment horizontal="center" vertical="center" wrapText="1"/>
    </xf>
    <xf numFmtId="49" fontId="3" fillId="6" borderId="4">
      <alignment horizontal="center" vertical="center" wrapText="1"/>
      <protection locked="0"/>
    </xf>
    <xf numFmtId="0" fontId="11" fillId="9" borderId="0" applyBorder="0">
      <alignment horizontal="right" vertical="center" wrapText="1"/>
    </xf>
    <xf numFmtId="0" fontId="11" fillId="0" borderId="17" applyFill="0">
      <alignment vertical="center" wrapText="1"/>
    </xf>
    <xf numFmtId="0" fontId="1" fillId="0" borderId="0" applyFill="0" applyBorder="0">
      <alignment vertical="center"/>
    </xf>
    <xf numFmtId="0" fontId="13" fillId="0" borderId="18" applyFill="0">
      <alignment horizontal="left" vertical="center" wrapText="1"/>
    </xf>
    <xf numFmtId="49" fontId="1" fillId="0" borderId="5" applyFill="0">
      <alignment horizontal="left" vertical="center" wrapText="1"/>
    </xf>
    <xf numFmtId="49" fontId="3" fillId="9" borderId="0" applyBorder="0">
      <alignment vertical="center" wrapText="1"/>
    </xf>
    <xf numFmtId="49" fontId="1" fillId="10" borderId="16">
      <alignment horizontal="center" vertical="center" wrapText="1"/>
    </xf>
    <xf numFmtId="0" fontId="3" fillId="10" borderId="16">
      <alignment horizontal="center" vertical="center" wrapText="1"/>
    </xf>
    <xf numFmtId="0" fontId="13" fillId="0" borderId="19" applyFill="0">
      <alignment horizontal="center" vertical="center" wrapText="1"/>
    </xf>
    <xf numFmtId="0" fontId="13" fillId="0" borderId="5" applyFill="0">
      <alignment vertical="center" wrapText="1"/>
    </xf>
    <xf numFmtId="0" fontId="3" fillId="0" borderId="5" applyFill="0">
      <alignment vertical="center" wrapText="1"/>
    </xf>
    <xf numFmtId="49" fontId="3" fillId="0" borderId="16" applyFill="0">
      <alignment horizontal="center" vertical="center" wrapText="1"/>
    </xf>
    <xf numFmtId="49" fontId="1" fillId="0" borderId="16" applyFill="0">
      <alignment horizontal="left" vertical="center" wrapText="1"/>
    </xf>
    <xf numFmtId="49" fontId="1" fillId="6" borderId="16">
      <alignment horizontal="center" vertical="center" wrapText="1"/>
      <protection locked="0"/>
    </xf>
    <xf numFmtId="49" fontId="14" fillId="0" borderId="0" applyFill="0" applyBorder="0">
      <alignment horizontal="center" vertical="center" wrapText="1"/>
    </xf>
    <xf numFmtId="49" fontId="3" fillId="0" borderId="20" applyFill="0">
      <alignment horizontal="center" vertical="center" wrapText="1"/>
    </xf>
    <xf numFmtId="49" fontId="1" fillId="3" borderId="16">
      <alignment horizontal="left" vertical="center" wrapText="1"/>
    </xf>
    <xf numFmtId="49" fontId="3" fillId="6" borderId="16">
      <alignment horizontal="center" vertical="center" wrapText="1"/>
    </xf>
    <xf numFmtId="49" fontId="15" fillId="11" borderId="1">
      <alignment horizontal="left" vertical="center" wrapText="1"/>
    </xf>
    <xf numFmtId="49" fontId="15" fillId="11" borderId="2">
      <alignment horizontal="left" vertical="center" wrapText="1"/>
    </xf>
    <xf numFmtId="49" fontId="15" fillId="11" borderId="3">
      <alignment horizontal="left" vertical="center" wrapText="1"/>
    </xf>
    <xf numFmtId="49" fontId="3" fillId="6" borderId="21">
      <alignment horizontal="center" vertical="center" wrapText="1"/>
      <protection locked="0"/>
    </xf>
    <xf numFmtId="49" fontId="3" fillId="6" borderId="22">
      <alignment horizontal="center" vertical="center" wrapText="1"/>
      <protection locked="0"/>
    </xf>
    <xf numFmtId="0" fontId="3" fillId="10" borderId="0" applyBorder="0">
      <alignment horizontal="center" vertical="center" wrapText="1"/>
    </xf>
    <xf numFmtId="0" fontId="16" fillId="0" borderId="23" applyFill="0">
      <alignment horizontal="left" vertical="center" wrapText="1"/>
    </xf>
    <xf numFmtId="49" fontId="3" fillId="0" borderId="24" applyFill="0">
      <alignment horizontal="left" vertical="center" wrapText="1"/>
    </xf>
    <xf numFmtId="0" fontId="3" fillId="0" borderId="24" applyFill="0">
      <alignment vertical="center" wrapText="1"/>
    </xf>
    <xf numFmtId="49" fontId="3" fillId="9" borderId="24">
      <alignment vertical="center" wrapText="1"/>
    </xf>
    <xf numFmtId="0" fontId="3" fillId="9" borderId="24">
      <alignment horizontal="center" vertical="center" wrapText="1"/>
    </xf>
    <xf numFmtId="0" fontId="3" fillId="9" borderId="24">
      <alignment vertical="center" wrapText="1"/>
    </xf>
    <xf numFmtId="49" fontId="1" fillId="10" borderId="1">
      <alignment horizontal="center" vertical="center" wrapText="1"/>
    </xf>
    <xf numFmtId="0" fontId="3" fillId="10" borderId="25">
      <alignment horizontal="center" vertical="center" wrapText="1"/>
    </xf>
    <xf numFmtId="0" fontId="3" fillId="10" borderId="26">
      <alignment horizontal="center" vertical="center" wrapText="1"/>
    </xf>
    <xf numFmtId="0" fontId="3" fillId="10" borderId="27">
      <alignment horizontal="center" vertical="center" wrapText="1"/>
    </xf>
    <xf numFmtId="0" fontId="1" fillId="10" borderId="3">
      <alignment horizontal="center" vertical="center" wrapText="1"/>
    </xf>
    <xf numFmtId="0" fontId="1" fillId="10" borderId="4">
      <alignment horizontal="center" vertical="center" wrapText="1"/>
    </xf>
    <xf numFmtId="0" fontId="13" fillId="0" borderId="4" applyFill="0">
      <alignment horizontal="center" vertical="center" wrapText="1"/>
    </xf>
    <xf numFmtId="0" fontId="13" fillId="0" borderId="28" applyFill="0">
      <alignment vertical="center" wrapText="1"/>
    </xf>
    <xf numFmtId="0" fontId="1" fillId="0" borderId="4" applyFill="0">
      <alignment vertical="center" wrapText="1"/>
    </xf>
    <xf numFmtId="0" fontId="13" fillId="0" borderId="1" applyFill="0">
      <alignment horizontal="center" vertical="center" wrapText="1"/>
    </xf>
    <xf numFmtId="0" fontId="13" fillId="0" borderId="2" applyFill="0">
      <alignment vertical="center" wrapText="1"/>
    </xf>
    <xf numFmtId="0" fontId="13" fillId="0" borderId="2" applyFill="0">
      <alignment horizontal="center" vertical="center" wrapText="1"/>
    </xf>
    <xf numFmtId="0" fontId="13" fillId="0" borderId="3" applyFill="0">
      <alignment vertical="center" wrapText="1"/>
    </xf>
    <xf numFmtId="49" fontId="3" fillId="0" borderId="29" applyFill="0">
      <alignment horizontal="center" vertical="center" wrapText="1"/>
    </xf>
    <xf numFmtId="49" fontId="3" fillId="0" borderId="29" applyFill="0">
      <alignment horizontal="left" vertical="center" wrapText="1"/>
    </xf>
    <xf numFmtId="49" fontId="76" fillId="0" borderId="0" applyFill="0" applyBorder="0">
      <alignment vertical="top" wrapText="1"/>
    </xf>
    <xf numFmtId="49" fontId="14" fillId="0" borderId="30" applyFill="0">
      <alignment horizontal="center" vertical="center" wrapText="1"/>
    </xf>
    <xf numFmtId="49" fontId="3" fillId="3" borderId="29">
      <alignment horizontal="left" vertical="center" wrapText="1"/>
    </xf>
    <xf numFmtId="49" fontId="17" fillId="3" borderId="29">
      <alignment horizontal="center" vertical="center" wrapText="1"/>
    </xf>
    <xf numFmtId="49" fontId="1" fillId="6" borderId="29">
      <alignment horizontal="center" vertical="center" wrapText="1"/>
    </xf>
    <xf numFmtId="49" fontId="3" fillId="0" borderId="27" applyFill="0">
      <alignment horizontal="center" vertical="center" wrapText="1"/>
    </xf>
    <xf numFmtId="49" fontId="3" fillId="0" borderId="27" applyFill="0">
      <alignment horizontal="left" vertical="center" wrapText="1"/>
    </xf>
    <xf numFmtId="49" fontId="3" fillId="3" borderId="27">
      <alignment horizontal="left" vertical="center" wrapText="1"/>
      <protection locked="0"/>
    </xf>
    <xf numFmtId="49" fontId="17" fillId="3" borderId="27">
      <alignment horizontal="center" vertical="center" wrapText="1"/>
      <protection locked="0"/>
    </xf>
    <xf numFmtId="49" fontId="1" fillId="6" borderId="27">
      <alignment horizontal="center" vertical="center" wrapText="1"/>
      <protection locked="0"/>
    </xf>
    <xf numFmtId="49" fontId="15" fillId="11" borderId="25">
      <alignment vertical="center" wrapText="1"/>
    </xf>
    <xf numFmtId="49" fontId="15" fillId="11" borderId="31">
      <alignment horizontal="center" vertical="center" wrapText="1"/>
    </xf>
    <xf numFmtId="49" fontId="15" fillId="11" borderId="31">
      <alignment vertical="center" wrapText="1"/>
    </xf>
    <xf numFmtId="49" fontId="15" fillId="11" borderId="26">
      <alignment vertical="center" wrapText="1"/>
    </xf>
    <xf numFmtId="0" fontId="1" fillId="0" borderId="27" applyFill="0">
      <alignment horizontal="left" vertical="center" wrapText="1"/>
    </xf>
    <xf numFmtId="49" fontId="3" fillId="3" borderId="27">
      <alignment horizontal="left" vertical="center" wrapText="1"/>
    </xf>
    <xf numFmtId="49" fontId="17" fillId="3" borderId="27">
      <alignment horizontal="center" vertical="center" wrapText="1"/>
    </xf>
    <xf numFmtId="49" fontId="1" fillId="6" borderId="27">
      <alignment horizontal="center" vertical="center" wrapText="1"/>
    </xf>
    <xf numFmtId="0" fontId="76" fillId="0" borderId="0" applyFill="0" applyBorder="0">
      <alignment vertical="top"/>
    </xf>
    <xf numFmtId="49" fontId="15" fillId="11" borderId="32">
      <alignment vertical="center" wrapText="1"/>
    </xf>
    <xf numFmtId="49" fontId="3" fillId="0" borderId="33" applyFill="0">
      <alignment horizontal="center" vertical="center" wrapText="1"/>
    </xf>
    <xf numFmtId="0" fontId="1" fillId="0" borderId="20" applyFill="0">
      <alignment horizontal="left" vertical="center" wrapText="1"/>
    </xf>
    <xf numFmtId="49" fontId="1" fillId="12" borderId="0" applyBorder="0">
      <alignment horizontal="left" vertical="center" wrapText="1"/>
    </xf>
    <xf numFmtId="49" fontId="1" fillId="6" borderId="0" applyBorder="0">
      <alignment horizontal="center" vertical="center" wrapText="1"/>
      <protection locked="0"/>
    </xf>
    <xf numFmtId="49" fontId="1" fillId="6" borderId="28">
      <alignment horizontal="center" vertical="center" wrapText="1"/>
      <protection locked="0"/>
    </xf>
    <xf numFmtId="49" fontId="3" fillId="0" borderId="34" applyFill="0">
      <alignment horizontal="center" vertical="center" wrapText="1"/>
    </xf>
    <xf numFmtId="0" fontId="1" fillId="0" borderId="35" applyFill="0">
      <alignment horizontal="left" vertical="center" wrapText="1"/>
    </xf>
    <xf numFmtId="49" fontId="1" fillId="6" borderId="24">
      <alignment horizontal="center" vertical="center" wrapText="1"/>
      <protection locked="0"/>
    </xf>
    <xf numFmtId="49" fontId="1" fillId="6" borderId="36">
      <alignment horizontal="center" vertical="center" wrapText="1"/>
      <protection locked="0"/>
    </xf>
    <xf numFmtId="49" fontId="1" fillId="3" borderId="19">
      <alignment horizontal="left" vertical="center" wrapText="1"/>
    </xf>
    <xf numFmtId="49" fontId="1" fillId="3" borderId="27">
      <alignment horizontal="left" vertical="center" wrapText="1"/>
    </xf>
    <xf numFmtId="49" fontId="17" fillId="3" borderId="3">
      <alignment horizontal="center" vertical="center" wrapText="1"/>
    </xf>
    <xf numFmtId="49" fontId="1" fillId="6" borderId="4">
      <alignment horizontal="center" vertical="center" wrapText="1"/>
    </xf>
    <xf numFmtId="0" fontId="76" fillId="0" borderId="9" applyFill="0">
      <alignment vertical="top"/>
    </xf>
    <xf numFmtId="49" fontId="1" fillId="3" borderId="19">
      <alignment horizontal="left" vertical="center" wrapText="1"/>
      <protection locked="0"/>
    </xf>
    <xf numFmtId="49" fontId="1" fillId="3" borderId="27">
      <alignment horizontal="left" vertical="center" wrapText="1"/>
      <protection locked="0"/>
    </xf>
    <xf numFmtId="49" fontId="17" fillId="3" borderId="3">
      <alignment horizontal="center" vertical="center" wrapText="1"/>
      <protection locked="0"/>
    </xf>
    <xf numFmtId="49" fontId="1" fillId="6" borderId="4">
      <alignment horizontal="center" vertical="center" wrapText="1"/>
      <protection locked="0"/>
    </xf>
    <xf numFmtId="0" fontId="18" fillId="11" borderId="11">
      <alignment horizontal="center" vertical="center" wrapText="1"/>
    </xf>
    <xf numFmtId="49" fontId="15" fillId="11" borderId="12">
      <alignment horizontal="left" vertical="center" wrapText="1"/>
    </xf>
    <xf numFmtId="49" fontId="15" fillId="11" borderId="0" applyBorder="0">
      <alignment horizontal="left" vertical="center" wrapText="1"/>
    </xf>
    <xf numFmtId="49" fontId="15" fillId="11" borderId="13">
      <alignment horizontal="left" vertical="center" wrapText="1"/>
    </xf>
    <xf numFmtId="0" fontId="13" fillId="0" borderId="17" applyFill="0">
      <alignment vertical="center" wrapText="1"/>
    </xf>
    <xf numFmtId="0" fontId="13" fillId="0" borderId="37" applyFill="0">
      <alignment vertical="center" wrapText="1"/>
    </xf>
    <xf numFmtId="49" fontId="3" fillId="0" borderId="38" applyFill="0">
      <alignment horizontal="center" vertical="center" wrapText="1"/>
    </xf>
    <xf numFmtId="49" fontId="1" fillId="3" borderId="30">
      <alignment horizontal="left" vertical="center" wrapText="1"/>
    </xf>
    <xf numFmtId="49" fontId="1" fillId="12" borderId="30">
      <alignment horizontal="left" vertical="center" wrapText="1"/>
    </xf>
    <xf numFmtId="49" fontId="1" fillId="12" borderId="39">
      <alignment horizontal="left" vertical="center" wrapText="1"/>
    </xf>
    <xf numFmtId="49" fontId="17" fillId="3" borderId="40">
      <alignment horizontal="center" vertical="center" wrapText="1"/>
    </xf>
    <xf numFmtId="49" fontId="1" fillId="6" borderId="10">
      <alignment horizontal="center" vertical="center" wrapText="1"/>
    </xf>
    <xf numFmtId="49" fontId="15" fillId="11" borderId="15">
      <alignment horizontal="left" vertical="center" wrapText="1"/>
    </xf>
    <xf numFmtId="0" fontId="76" fillId="0" borderId="0" applyFill="0" applyBorder="0">
      <alignment horizontal="center" vertical="center" wrapText="1"/>
    </xf>
    <xf numFmtId="0" fontId="2" fillId="0" borderId="0" applyFill="0" applyBorder="0">
      <alignment horizontal="center" vertical="center" wrapText="1"/>
    </xf>
    <xf numFmtId="0" fontId="2" fillId="0" borderId="41" applyFill="0">
      <alignment horizontal="center" vertical="center" wrapText="1"/>
    </xf>
    <xf numFmtId="0" fontId="2" fillId="0" borderId="0" applyFill="0" applyBorder="0">
      <alignment horizontal="center" wrapText="1"/>
    </xf>
    <xf numFmtId="0" fontId="2" fillId="0" borderId="5" applyFill="0">
      <alignment horizontal="left" vertical="center" wrapText="1"/>
    </xf>
    <xf numFmtId="0" fontId="3" fillId="0" borderId="16" applyFill="0">
      <alignment horizontal="left" vertical="center" wrapText="1"/>
    </xf>
    <xf numFmtId="0" fontId="3" fillId="6" borderId="35">
      <alignment horizontal="left" vertical="center" wrapText="1"/>
      <protection locked="0"/>
    </xf>
    <xf numFmtId="0" fontId="3" fillId="6" borderId="17">
      <alignment horizontal="left" vertical="center" wrapText="1"/>
      <protection locked="0"/>
    </xf>
    <xf numFmtId="0" fontId="3" fillId="6" borderId="42">
      <alignment horizontal="left" vertical="center" wrapText="1"/>
      <protection locked="0"/>
    </xf>
    <xf numFmtId="0" fontId="3" fillId="6" borderId="20">
      <alignment horizontal="left" vertical="center" wrapText="1"/>
      <protection locked="0"/>
    </xf>
    <xf numFmtId="0" fontId="3" fillId="6" borderId="18">
      <alignment horizontal="left" vertical="center" wrapText="1"/>
      <protection locked="0"/>
    </xf>
    <xf numFmtId="0" fontId="3" fillId="6" borderId="43">
      <alignment horizontal="left" vertical="center" wrapText="1"/>
      <protection locked="0"/>
    </xf>
    <xf numFmtId="0" fontId="3" fillId="8" borderId="16">
      <alignment horizontal="left" vertical="center" wrapText="1"/>
    </xf>
    <xf numFmtId="0" fontId="3" fillId="6" borderId="19">
      <alignment horizontal="left" vertical="center" wrapText="1"/>
      <protection locked="0"/>
    </xf>
    <xf numFmtId="0" fontId="3" fillId="6" borderId="5">
      <alignment horizontal="left" vertical="center" wrapText="1"/>
      <protection locked="0"/>
    </xf>
    <xf numFmtId="0" fontId="3" fillId="6" borderId="37">
      <alignment horizontal="left" vertical="center" wrapText="1"/>
      <protection locked="0"/>
    </xf>
    <xf numFmtId="0" fontId="3" fillId="8" borderId="19">
      <alignment horizontal="left" vertical="center" wrapText="1"/>
    </xf>
    <xf numFmtId="0" fontId="3" fillId="8" borderId="5">
      <alignment horizontal="left" vertical="center" wrapText="1"/>
    </xf>
    <xf numFmtId="0" fontId="3" fillId="8" borderId="37">
      <alignment horizontal="left" vertical="center" wrapText="1"/>
    </xf>
    <xf numFmtId="49" fontId="3" fillId="0" borderId="16" applyFill="0">
      <alignment horizontal="left" vertical="center" wrapText="1"/>
    </xf>
    <xf numFmtId="4" fontId="3" fillId="8" borderId="16">
      <alignment horizontal="left" vertical="center" wrapText="1"/>
    </xf>
    <xf numFmtId="0" fontId="3" fillId="0" borderId="16" applyFill="0">
      <alignment horizontal="center" vertical="center" wrapText="1"/>
    </xf>
    <xf numFmtId="0" fontId="3" fillId="13" borderId="22">
      <alignment horizontal="left" vertical="center" wrapText="1"/>
    </xf>
    <xf numFmtId="0" fontId="3" fillId="13" borderId="19">
      <alignment horizontal="center" vertical="center" wrapText="1"/>
    </xf>
    <xf numFmtId="0" fontId="3" fillId="13" borderId="5">
      <alignment vertical="center" wrapText="1"/>
    </xf>
    <xf numFmtId="0" fontId="3" fillId="13" borderId="37">
      <alignment vertical="center" wrapText="1"/>
    </xf>
    <xf numFmtId="0" fontId="3" fillId="0" borderId="21" applyFill="0">
      <alignment horizontal="center" vertical="center" wrapText="1"/>
    </xf>
    <xf numFmtId="0" fontId="3" fillId="0" borderId="21" applyFill="0">
      <alignment horizontal="left" vertical="center" wrapText="1"/>
    </xf>
    <xf numFmtId="4" fontId="3" fillId="6" borderId="21">
      <alignment horizontal="right" vertical="center" wrapText="1"/>
      <protection locked="0"/>
    </xf>
    <xf numFmtId="0" fontId="3" fillId="13" borderId="5">
      <alignment horizontal="center" vertical="center" wrapText="1"/>
    </xf>
    <xf numFmtId="10" fontId="3" fillId="6" borderId="16">
      <alignment horizontal="right" vertical="center" wrapText="1"/>
      <protection locked="0"/>
    </xf>
    <xf numFmtId="4" fontId="3" fillId="6" borderId="16">
      <alignment horizontal="right" vertical="center" wrapText="1"/>
      <protection locked="0"/>
    </xf>
    <xf numFmtId="49" fontId="3" fillId="6" borderId="16">
      <alignment horizontal="right" vertical="center" wrapText="1"/>
      <protection locked="0"/>
    </xf>
    <xf numFmtId="0" fontId="2" fillId="0" borderId="16" applyFill="0">
      <alignment vertical="center" wrapText="1"/>
    </xf>
    <xf numFmtId="4" fontId="3" fillId="8" borderId="16">
      <alignment horizontal="right" vertical="center" wrapText="1"/>
    </xf>
    <xf numFmtId="0" fontId="3" fillId="13" borderId="5">
      <alignment horizontal="left" vertical="center" wrapText="1"/>
    </xf>
    <xf numFmtId="0" fontId="2" fillId="0" borderId="16" applyFill="0">
      <alignment horizontal="center" vertical="center" wrapText="1"/>
    </xf>
    <xf numFmtId="0" fontId="3" fillId="13" borderId="19">
      <alignment horizontal="left" vertical="center" wrapText="1"/>
    </xf>
    <xf numFmtId="4" fontId="3" fillId="6" borderId="16">
      <alignment horizontal="right" vertical="center" wrapText="1"/>
    </xf>
    <xf numFmtId="49" fontId="3" fillId="0" borderId="4" applyFill="0">
      <alignment horizontal="center" vertical="center" wrapText="1"/>
    </xf>
    <xf numFmtId="0" fontId="3" fillId="0" borderId="4" applyFill="0">
      <alignment horizontal="left" vertical="center" wrapText="1"/>
    </xf>
    <xf numFmtId="0" fontId="3" fillId="0" borderId="4" applyFill="0">
      <alignment horizontal="center" vertical="center" wrapText="1"/>
    </xf>
    <xf numFmtId="4" fontId="3" fillId="6" borderId="4">
      <alignment horizontal="right" vertical="center" wrapText="1"/>
    </xf>
    <xf numFmtId="0" fontId="3" fillId="13" borderId="37">
      <alignment horizontal="center" vertical="center" wrapText="1"/>
    </xf>
    <xf numFmtId="4" fontId="3" fillId="6" borderId="37">
      <alignment horizontal="right" vertical="center" wrapText="1"/>
    </xf>
    <xf numFmtId="4" fontId="3" fillId="6" borderId="4">
      <alignment horizontal="right" vertical="center" wrapText="1"/>
      <protection locked="0"/>
    </xf>
    <xf numFmtId="4" fontId="3" fillId="6" borderId="37">
      <alignment horizontal="right" vertical="center" wrapText="1"/>
      <protection locked="0"/>
    </xf>
    <xf numFmtId="0" fontId="3" fillId="13" borderId="44">
      <alignment vertical="center"/>
    </xf>
    <xf numFmtId="0" fontId="3" fillId="13" borderId="44">
      <alignment vertical="center" wrapText="1"/>
    </xf>
    <xf numFmtId="0" fontId="3" fillId="13" borderId="45">
      <alignment vertical="center" wrapText="1"/>
    </xf>
    <xf numFmtId="0" fontId="3" fillId="0" borderId="2" applyFill="0">
      <alignment vertical="center" wrapText="1"/>
    </xf>
    <xf numFmtId="0" fontId="3" fillId="0" borderId="3" applyFill="0">
      <alignment vertical="center" wrapText="1"/>
    </xf>
    <xf numFmtId="0" fontId="3" fillId="9" borderId="5">
      <alignment vertical="center" wrapText="1"/>
    </xf>
    <xf numFmtId="0" fontId="2" fillId="0" borderId="0" applyFill="0" applyBorder="0">
      <alignment horizontal="left" vertical="center" wrapText="1"/>
    </xf>
    <xf numFmtId="0" fontId="19" fillId="0" borderId="0" applyFill="0" applyBorder="0">
      <alignment vertical="center" wrapText="1"/>
    </xf>
    <xf numFmtId="0" fontId="16" fillId="0" borderId="18" applyFill="0">
      <alignment horizontal="left" vertical="center" wrapText="1"/>
    </xf>
    <xf numFmtId="0" fontId="1" fillId="0" borderId="16" applyFill="0">
      <alignment horizontal="center" vertical="center" wrapText="1"/>
    </xf>
    <xf numFmtId="0" fontId="3" fillId="0" borderId="35" applyFill="0">
      <alignment horizontal="center" vertical="center" wrapText="1"/>
    </xf>
    <xf numFmtId="0" fontId="3" fillId="0" borderId="42" applyFill="0">
      <alignment horizontal="center" vertical="center" wrapText="1"/>
    </xf>
    <xf numFmtId="0" fontId="3" fillId="0" borderId="22" applyFill="0">
      <alignment horizontal="center" vertical="center" wrapText="1"/>
    </xf>
    <xf numFmtId="0" fontId="3" fillId="0" borderId="38" applyFill="0">
      <alignment horizontal="center" vertical="center" wrapText="1"/>
    </xf>
    <xf numFmtId="0" fontId="3" fillId="0" borderId="46" applyFill="0">
      <alignment horizontal="center" vertical="center" wrapText="1"/>
    </xf>
    <xf numFmtId="0" fontId="3" fillId="0" borderId="47" applyFill="0">
      <alignment horizontal="center" vertical="center" wrapText="1"/>
    </xf>
    <xf numFmtId="0" fontId="3" fillId="0" borderId="20" applyFill="0">
      <alignment horizontal="center" vertical="center" wrapText="1"/>
    </xf>
    <xf numFmtId="0" fontId="3" fillId="0" borderId="43" applyFill="0">
      <alignment horizontal="center" vertical="center" wrapText="1"/>
    </xf>
    <xf numFmtId="0" fontId="3" fillId="5" borderId="16">
      <alignment horizontal="center" vertical="center" wrapText="1"/>
    </xf>
    <xf numFmtId="0" fontId="3" fillId="13" borderId="38">
      <alignment horizontal="center" vertical="center" wrapText="1"/>
    </xf>
    <xf numFmtId="0" fontId="3" fillId="13" borderId="0" applyBorder="0">
      <alignment horizontal="left" vertical="center" wrapText="1"/>
    </xf>
    <xf numFmtId="0" fontId="3" fillId="13" borderId="0" applyBorder="0">
      <alignment horizontal="center" vertical="center" wrapText="1"/>
    </xf>
    <xf numFmtId="49" fontId="3" fillId="13" borderId="38">
      <alignment horizontal="center" vertical="center" wrapText="1"/>
    </xf>
    <xf numFmtId="4" fontId="1" fillId="6" borderId="16">
      <alignment horizontal="right" vertical="center" wrapText="1"/>
      <protection locked="0"/>
    </xf>
    <xf numFmtId="0" fontId="3" fillId="0" borderId="16" applyFill="0">
      <alignment horizontal="left" vertical="center" wrapText="1" indent="1"/>
    </xf>
    <xf numFmtId="0" fontId="1" fillId="0" borderId="18" applyFill="0">
      <alignment horizontal="left" vertical="center" wrapText="1"/>
    </xf>
    <xf numFmtId="0" fontId="3" fillId="4" borderId="16">
      <alignment horizontal="center" vertical="center" wrapText="1"/>
    </xf>
    <xf numFmtId="0" fontId="1" fillId="14" borderId="19">
      <alignment horizontal="center" vertical="center" wrapText="1"/>
    </xf>
    <xf numFmtId="0" fontId="1" fillId="14" borderId="5">
      <alignment horizontal="center" vertical="center" wrapText="1"/>
    </xf>
    <xf numFmtId="0" fontId="1" fillId="14" borderId="37">
      <alignment horizontal="center" vertical="center" wrapText="1"/>
    </xf>
    <xf numFmtId="0" fontId="1" fillId="14" borderId="16">
      <alignment horizontal="center" vertical="center" wrapText="1"/>
    </xf>
    <xf numFmtId="0" fontId="3" fillId="8" borderId="16">
      <alignment horizontal="right" vertical="center" wrapText="1"/>
    </xf>
    <xf numFmtId="169" fontId="3" fillId="6" borderId="16">
      <alignment horizontal="right" vertical="center" wrapText="1"/>
      <protection locked="0"/>
    </xf>
    <xf numFmtId="169" fontId="3" fillId="6" borderId="16">
      <alignment horizontal="right" vertical="center" wrapText="1"/>
    </xf>
    <xf numFmtId="4" fontId="3" fillId="0" borderId="16" applyFill="0">
      <alignment horizontal="right" vertical="center" wrapText="1"/>
    </xf>
    <xf numFmtId="169" fontId="3" fillId="0" borderId="16" applyFill="0">
      <alignment horizontal="right" vertical="center" wrapText="1"/>
    </xf>
    <xf numFmtId="0" fontId="1" fillId="4" borderId="16">
      <alignment horizontal="center" vertical="center" wrapText="1"/>
    </xf>
    <xf numFmtId="0" fontId="3" fillId="0" borderId="0" applyFill="0" applyBorder="0">
      <alignment horizontal="left" wrapText="1"/>
    </xf>
    <xf numFmtId="49" fontId="3" fillId="0" borderId="5" applyFill="0">
      <alignment horizontal="left" vertical="center" wrapText="1"/>
    </xf>
    <xf numFmtId="0" fontId="3" fillId="14" borderId="16">
      <alignment horizontal="center" vertical="center" wrapText="1"/>
    </xf>
    <xf numFmtId="0" fontId="1" fillId="8" borderId="16">
      <alignment horizontal="center" vertical="center" wrapText="1"/>
    </xf>
    <xf numFmtId="9" fontId="1" fillId="8" borderId="16">
      <alignment horizontal="center" vertical="center" wrapText="1"/>
    </xf>
    <xf numFmtId="0" fontId="3" fillId="0" borderId="0" applyFill="0" applyBorder="0">
      <alignment horizontal="left" vertical="center" wrapText="1"/>
    </xf>
    <xf numFmtId="49" fontId="2" fillId="0" borderId="5" applyFill="0">
      <alignment horizontal="left" vertical="center" wrapText="1"/>
    </xf>
    <xf numFmtId="0" fontId="20" fillId="0" borderId="3" applyFill="0">
      <alignment horizontal="center" vertical="center" wrapText="1"/>
    </xf>
    <xf numFmtId="0" fontId="20" fillId="0" borderId="4" applyFill="0">
      <alignment horizontal="center" vertical="center" wrapText="1"/>
    </xf>
    <xf numFmtId="0" fontId="20" fillId="4" borderId="48">
      <alignment horizontal="center" vertical="center" wrapText="1"/>
    </xf>
    <xf numFmtId="0" fontId="20" fillId="4" borderId="18">
      <alignment horizontal="center" vertical="center" wrapText="1"/>
    </xf>
    <xf numFmtId="0" fontId="7" fillId="0" borderId="37" applyFill="0">
      <alignment horizontal="center" vertical="center" wrapText="1"/>
    </xf>
    <xf numFmtId="0" fontId="7" fillId="0" borderId="16" applyFill="0">
      <alignment horizontal="center" vertical="center" wrapText="1"/>
    </xf>
    <xf numFmtId="0" fontId="1" fillId="0" borderId="37" applyFill="0">
      <alignment horizontal="center" vertical="center" wrapText="1"/>
    </xf>
    <xf numFmtId="0" fontId="3" fillId="0" borderId="19" applyFill="0">
      <alignment horizontal="center" vertical="center" wrapText="1"/>
    </xf>
    <xf numFmtId="4" fontId="2" fillId="6" borderId="4">
      <alignment horizontal="right" vertical="center" wrapText="1"/>
      <protection locked="0"/>
    </xf>
    <xf numFmtId="4" fontId="3" fillId="8" borderId="4">
      <alignment vertical="center" wrapText="1"/>
    </xf>
    <xf numFmtId="0" fontId="1" fillId="0" borderId="19" applyFill="0">
      <alignment horizontal="center" vertical="center" wrapText="1"/>
    </xf>
    <xf numFmtId="4" fontId="2" fillId="6" borderId="28">
      <alignment horizontal="right" vertical="center" wrapText="1"/>
      <protection locked="0"/>
    </xf>
    <xf numFmtId="4" fontId="3" fillId="6" borderId="28">
      <alignment horizontal="right" vertical="center" wrapText="1"/>
    </xf>
    <xf numFmtId="0" fontId="76" fillId="0" borderId="0" applyFill="0" applyBorder="0">
      <alignment vertical="center" wrapText="1"/>
    </xf>
    <xf numFmtId="0" fontId="7" fillId="0" borderId="0" applyFill="0" applyBorder="0">
      <alignment horizontal="right" vertical="center" wrapText="1"/>
    </xf>
    <xf numFmtId="49" fontId="1" fillId="6" borderId="16">
      <alignment horizontal="center" vertical="center" wrapText="1"/>
    </xf>
    <xf numFmtId="170" fontId="3" fillId="8" borderId="16">
      <alignment horizontal="right" vertical="center" wrapText="1"/>
    </xf>
    <xf numFmtId="49" fontId="3" fillId="0" borderId="5" applyFill="0">
      <alignment horizontal="center" vertical="center" wrapText="1"/>
    </xf>
    <xf numFmtId="49" fontId="3" fillId="8" borderId="16">
      <alignment horizontal="right" vertical="center" wrapText="1"/>
    </xf>
    <xf numFmtId="0" fontId="3" fillId="0" borderId="0" applyFill="0" applyBorder="0">
      <alignment horizontal="center" vertical="center" wrapText="1"/>
    </xf>
    <xf numFmtId="0" fontId="3" fillId="14" borderId="20">
      <alignment horizontal="center" vertical="center" wrapText="1"/>
    </xf>
    <xf numFmtId="0" fontId="3" fillId="14" borderId="18">
      <alignment horizontal="center" vertical="center" wrapText="1"/>
    </xf>
    <xf numFmtId="0" fontId="3" fillId="0" borderId="22" applyFill="0">
      <alignment horizontal="left" vertical="center" wrapText="1"/>
    </xf>
    <xf numFmtId="0" fontId="3" fillId="0" borderId="35" applyFill="0">
      <alignment horizontal="left" vertical="center" wrapText="1"/>
    </xf>
    <xf numFmtId="4" fontId="3" fillId="13" borderId="0" applyBorder="0">
      <alignment horizontal="center" vertical="center" wrapText="1"/>
    </xf>
    <xf numFmtId="0" fontId="3" fillId="0" borderId="19" applyFill="0">
      <alignment horizontal="left" vertical="center" wrapText="1"/>
    </xf>
    <xf numFmtId="0" fontId="3" fillId="13" borderId="35">
      <alignment horizontal="center" vertical="center" wrapText="1"/>
    </xf>
    <xf numFmtId="0" fontId="3" fillId="13" borderId="17">
      <alignment horizontal="left" vertical="center" wrapText="1"/>
    </xf>
    <xf numFmtId="0" fontId="3" fillId="13" borderId="20">
      <alignment horizontal="center" vertical="center" wrapText="1"/>
    </xf>
    <xf numFmtId="0" fontId="3" fillId="13" borderId="18">
      <alignment horizontal="left" vertical="center" wrapText="1"/>
    </xf>
    <xf numFmtId="0" fontId="3" fillId="0" borderId="47" applyFill="0">
      <alignment horizontal="left" vertical="center" wrapText="1"/>
    </xf>
    <xf numFmtId="0" fontId="3" fillId="0" borderId="38" applyFill="0">
      <alignment horizontal="left" vertical="center" wrapText="1"/>
    </xf>
    <xf numFmtId="0" fontId="3" fillId="0" borderId="20" applyFill="0">
      <alignment horizontal="left" vertical="center" wrapText="1"/>
    </xf>
    <xf numFmtId="0" fontId="3" fillId="13" borderId="0" applyBorder="0">
      <alignment vertical="center" wrapText="1"/>
    </xf>
    <xf numFmtId="170" fontId="3" fillId="8" borderId="16" quotePrefix="1">
      <alignment horizontal="right" vertical="center" wrapText="1"/>
    </xf>
    <xf numFmtId="0" fontId="3" fillId="0" borderId="49" applyFill="0">
      <alignment horizontal="center" vertical="center" wrapText="1"/>
    </xf>
    <xf numFmtId="0" fontId="7" fillId="0" borderId="49" applyFill="0">
      <alignment horizontal="left" vertical="center" wrapText="1"/>
    </xf>
    <xf numFmtId="9" fontId="3" fillId="8" borderId="16">
      <alignment horizontal="right" vertical="center" wrapText="1"/>
    </xf>
    <xf numFmtId="9" fontId="3" fillId="6" borderId="16">
      <alignment horizontal="right" vertical="center" wrapText="1"/>
    </xf>
    <xf numFmtId="0" fontId="13" fillId="0" borderId="49" applyFill="0">
      <alignment horizontal="center" vertical="center" wrapText="1"/>
    </xf>
    <xf numFmtId="0" fontId="6" fillId="0" borderId="49" applyFill="0">
      <alignment horizontal="left" vertical="center" wrapText="1"/>
    </xf>
    <xf numFmtId="9" fontId="3" fillId="6" borderId="16">
      <alignment horizontal="right" vertical="center" wrapText="1"/>
      <protection locked="0"/>
    </xf>
    <xf numFmtId="4" fontId="3" fillId="0" borderId="47" applyFill="0">
      <alignment horizontal="center" vertical="center" wrapText="1"/>
    </xf>
    <xf numFmtId="1" fontId="3" fillId="8" borderId="16">
      <alignment horizontal="right" vertical="center" wrapText="1"/>
    </xf>
    <xf numFmtId="3" fontId="3" fillId="6" borderId="0" applyBorder="0">
      <alignment horizontal="right" vertical="center" wrapText="1"/>
      <protection locked="0"/>
    </xf>
    <xf numFmtId="168" fontId="3" fillId="6" borderId="0" applyBorder="0">
      <alignment horizontal="right" vertical="center" wrapText="1"/>
    </xf>
    <xf numFmtId="0" fontId="13" fillId="0" borderId="20" applyFill="0">
      <alignment horizontal="left" vertical="center" wrapText="1"/>
    </xf>
    <xf numFmtId="10" fontId="3" fillId="6" borderId="50">
      <alignment horizontal="right" vertical="center" wrapText="1"/>
    </xf>
    <xf numFmtId="10" fontId="3" fillId="8" borderId="16">
      <alignment horizontal="right" vertical="center" wrapText="1"/>
    </xf>
    <xf numFmtId="170" fontId="3" fillId="6" borderId="16">
      <alignment horizontal="right" vertical="center" wrapText="1"/>
    </xf>
    <xf numFmtId="0" fontId="13" fillId="0" borderId="38" applyFill="0">
      <alignment horizontal="left" vertical="center" wrapText="1"/>
    </xf>
    <xf numFmtId="0" fontId="7" fillId="0" borderId="5" applyFill="0">
      <alignment horizontal="left" vertical="center" wrapText="1"/>
    </xf>
    <xf numFmtId="0" fontId="11" fillId="9" borderId="0" applyBorder="0">
      <alignment vertical="center" wrapText="1"/>
    </xf>
    <xf numFmtId="0" fontId="1" fillId="0" borderId="36" applyFill="0">
      <alignment horizontal="center" vertical="center" wrapText="1"/>
    </xf>
    <xf numFmtId="0" fontId="3" fillId="0" borderId="36" applyFill="0">
      <alignment horizontal="center" vertical="center" wrapText="1"/>
    </xf>
    <xf numFmtId="0" fontId="3" fillId="9" borderId="36">
      <alignment horizontal="center" vertical="center" wrapText="1"/>
    </xf>
    <xf numFmtId="0" fontId="3" fillId="0" borderId="51" applyFill="0">
      <alignment horizontal="center" vertical="center" wrapText="1"/>
    </xf>
    <xf numFmtId="0" fontId="3" fillId="0" borderId="52" applyFill="0">
      <alignment horizontal="center" vertical="center" wrapText="1"/>
    </xf>
    <xf numFmtId="0" fontId="3" fillId="0" borderId="3" applyFill="0">
      <alignment horizontal="center" vertical="center" wrapText="1"/>
    </xf>
    <xf numFmtId="0" fontId="3" fillId="0" borderId="53" applyFill="0">
      <alignment horizontal="center" vertical="center" wrapText="1"/>
    </xf>
    <xf numFmtId="0" fontId="3" fillId="15" borderId="1">
      <alignment horizontal="center" vertical="center" wrapText="1"/>
    </xf>
    <xf numFmtId="0" fontId="3" fillId="15" borderId="3">
      <alignment horizontal="center" vertical="center" wrapText="1"/>
    </xf>
    <xf numFmtId="0" fontId="3" fillId="0" borderId="1" applyFill="0">
      <alignment horizontal="center" vertical="center" wrapText="1"/>
    </xf>
    <xf numFmtId="0" fontId="3" fillId="0" borderId="2" applyFill="0">
      <alignment horizontal="center" vertical="center" wrapText="1"/>
    </xf>
    <xf numFmtId="0" fontId="3" fillId="15" borderId="2">
      <alignment horizontal="center" vertical="center" wrapText="1"/>
    </xf>
    <xf numFmtId="0" fontId="3" fillId="9" borderId="54">
      <alignment vertical="center" wrapText="1"/>
    </xf>
    <xf numFmtId="49" fontId="3" fillId="9" borderId="36">
      <alignment horizontal="center" vertical="center" wrapText="1"/>
    </xf>
    <xf numFmtId="0" fontId="1" fillId="0" borderId="54" applyFill="0">
      <alignment horizontal="center" vertical="center" wrapText="1"/>
    </xf>
    <xf numFmtId="0" fontId="3" fillId="0" borderId="54" applyFill="0">
      <alignment horizontal="center" vertical="center" wrapText="1"/>
    </xf>
    <xf numFmtId="0" fontId="3" fillId="9" borderId="54">
      <alignment horizontal="center" vertical="center" wrapText="1"/>
    </xf>
    <xf numFmtId="0" fontId="3" fillId="0" borderId="55" applyFill="0">
      <alignment horizontal="center" vertical="center" wrapText="1"/>
    </xf>
    <xf numFmtId="0" fontId="3" fillId="0" borderId="12" applyFill="0">
      <alignment horizontal="center" vertical="center" wrapText="1"/>
    </xf>
    <xf numFmtId="0" fontId="3" fillId="0" borderId="11" applyFill="0">
      <alignment horizontal="center" vertical="center" wrapText="1"/>
    </xf>
    <xf numFmtId="49" fontId="3" fillId="9" borderId="54">
      <alignment horizontal="center" vertical="center" wrapText="1"/>
    </xf>
    <xf numFmtId="0" fontId="1" fillId="0" borderId="28" applyFill="0">
      <alignment horizontal="center" vertical="center" wrapText="1"/>
    </xf>
    <xf numFmtId="0" fontId="3" fillId="0" borderId="28" applyFill="0">
      <alignment horizontal="center" vertical="center" wrapText="1"/>
    </xf>
    <xf numFmtId="0" fontId="3" fillId="9" borderId="28">
      <alignment horizontal="center" vertical="center" wrapText="1"/>
    </xf>
    <xf numFmtId="0" fontId="21" fillId="0" borderId="11" applyFill="0">
      <alignment horizontal="center" vertical="center" wrapText="1"/>
    </xf>
    <xf numFmtId="0" fontId="21" fillId="0" borderId="16" applyFill="0">
      <alignment horizontal="center" vertical="center" wrapText="1"/>
    </xf>
    <xf numFmtId="0" fontId="21" fillId="0" borderId="22" applyFill="0">
      <alignment horizontal="center" vertical="center" wrapText="1"/>
    </xf>
    <xf numFmtId="0" fontId="21" fillId="0" borderId="12" applyFill="0">
      <alignment horizontal="center" vertical="center" wrapText="1"/>
    </xf>
    <xf numFmtId="49" fontId="3" fillId="9" borderId="28">
      <alignment horizontal="center" vertical="center" wrapText="1"/>
    </xf>
    <xf numFmtId="0" fontId="3" fillId="0" borderId="27" applyFill="0">
      <alignment horizontal="center" vertical="center" wrapText="1"/>
    </xf>
    <xf numFmtId="4" fontId="3" fillId="8" borderId="21">
      <alignment horizontal="right" vertical="center" wrapText="1"/>
    </xf>
    <xf numFmtId="49" fontId="3" fillId="6" borderId="36">
      <alignment horizontal="left" vertical="center" wrapText="1"/>
      <protection locked="0"/>
    </xf>
    <xf numFmtId="0" fontId="3" fillId="9" borderId="12">
      <alignment horizontal="center" vertical="center" wrapText="1"/>
    </xf>
    <xf numFmtId="0" fontId="3" fillId="0" borderId="56" applyFill="0">
      <alignment horizontal="center" vertical="center" wrapText="1"/>
    </xf>
    <xf numFmtId="4" fontId="3" fillId="6" borderId="12">
      <alignment horizontal="right" vertical="center" wrapText="1"/>
      <protection locked="0"/>
    </xf>
    <xf numFmtId="0" fontId="3" fillId="0" borderId="57" applyFill="0">
      <alignment horizontal="center" vertical="center" wrapText="1"/>
    </xf>
    <xf numFmtId="0" fontId="13" fillId="9" borderId="0" applyBorder="0">
      <alignment vertical="center" wrapText="1"/>
    </xf>
    <xf numFmtId="0" fontId="13" fillId="0" borderId="11" applyFill="0">
      <alignment horizontal="center" vertical="center" wrapText="1"/>
    </xf>
    <xf numFmtId="0" fontId="13" fillId="0" borderId="27" applyFill="0">
      <alignment horizontal="center" vertical="center" wrapText="1"/>
    </xf>
    <xf numFmtId="0" fontId="13" fillId="9" borderId="12">
      <alignment horizontal="center" vertical="center" wrapText="1"/>
    </xf>
    <xf numFmtId="4" fontId="13" fillId="0" borderId="16" applyFill="0">
      <alignment vertical="center" wrapText="1"/>
    </xf>
    <xf numFmtId="4" fontId="13" fillId="8" borderId="16">
      <alignment horizontal="right" vertical="center" wrapText="1"/>
    </xf>
    <xf numFmtId="0" fontId="13" fillId="9" borderId="54">
      <alignment vertical="center" wrapText="1"/>
    </xf>
    <xf numFmtId="49" fontId="13" fillId="6" borderId="36">
      <alignment horizontal="left" vertical="center" wrapText="1"/>
      <protection locked="0"/>
    </xf>
    <xf numFmtId="4" fontId="3" fillId="6" borderId="0" applyBorder="0">
      <alignment horizontal="right" vertical="center" wrapText="1"/>
      <protection locked="0"/>
    </xf>
    <xf numFmtId="0" fontId="3" fillId="0" borderId="9" applyFill="0">
      <alignment horizontal="center" vertical="center" wrapText="1"/>
    </xf>
    <xf numFmtId="0" fontId="3" fillId="0" borderId="14" applyFill="0">
      <alignment horizontal="center" vertical="center" wrapText="1"/>
    </xf>
    <xf numFmtId="0" fontId="13" fillId="0" borderId="9" applyFill="0">
      <alignment horizontal="center" vertical="center" wrapText="1"/>
    </xf>
    <xf numFmtId="0" fontId="13" fillId="0" borderId="22" applyFill="0">
      <alignment horizontal="center" vertical="center" wrapText="1"/>
    </xf>
    <xf numFmtId="0" fontId="13" fillId="0" borderId="35" applyFill="0">
      <alignment horizontal="center" vertical="center" wrapText="1"/>
    </xf>
    <xf numFmtId="49" fontId="13" fillId="0" borderId="27" applyFill="0">
      <alignment horizontal="center" vertical="center" wrapText="1"/>
    </xf>
    <xf numFmtId="0" fontId="13" fillId="0" borderId="42" applyFill="0">
      <alignment horizontal="center" vertical="center" wrapText="1"/>
    </xf>
    <xf numFmtId="0" fontId="13" fillId="0" borderId="16" applyFill="0">
      <alignment horizontal="center" vertical="center" wrapText="1"/>
    </xf>
    <xf numFmtId="0" fontId="13" fillId="0" borderId="47" applyFill="0">
      <alignment horizontal="center" vertical="center" wrapText="1"/>
    </xf>
    <xf numFmtId="0" fontId="13" fillId="0" borderId="38" applyFill="0">
      <alignment horizontal="center" vertical="center" wrapText="1"/>
    </xf>
    <xf numFmtId="0" fontId="13" fillId="0" borderId="46" applyFill="0">
      <alignment horizontal="center" vertical="center" wrapText="1"/>
    </xf>
    <xf numFmtId="0" fontId="13" fillId="0" borderId="21" applyFill="0">
      <alignment horizontal="center" vertical="center" wrapText="1"/>
    </xf>
    <xf numFmtId="0" fontId="13" fillId="0" borderId="20" applyFill="0">
      <alignment horizontal="center" vertical="center" wrapText="1"/>
    </xf>
    <xf numFmtId="0" fontId="13" fillId="0" borderId="43" applyFill="0">
      <alignment horizontal="center" vertical="center" wrapText="1"/>
    </xf>
    <xf numFmtId="0" fontId="3" fillId="0" borderId="12" applyFill="0">
      <alignment vertical="center" wrapText="1"/>
    </xf>
    <xf numFmtId="0" fontId="1" fillId="9" borderId="0" applyBorder="0">
      <alignment vertical="center" wrapText="1"/>
    </xf>
    <xf numFmtId="0" fontId="1" fillId="0" borderId="58" applyFill="0">
      <alignment horizontal="center" vertical="center" wrapText="1"/>
    </xf>
    <xf numFmtId="0" fontId="1" fillId="0" borderId="59" applyFill="0">
      <alignment horizontal="center" vertical="center" wrapText="1"/>
    </xf>
    <xf numFmtId="0" fontId="3" fillId="15" borderId="16">
      <alignment horizontal="center" vertical="center" wrapText="1"/>
    </xf>
    <xf numFmtId="0" fontId="1" fillId="9" borderId="9">
      <alignment vertical="center" wrapText="1"/>
    </xf>
    <xf numFmtId="49" fontId="3" fillId="9" borderId="59">
      <alignment horizontal="center" vertical="center" wrapText="1"/>
    </xf>
    <xf numFmtId="0" fontId="1" fillId="0" borderId="60" applyFill="0">
      <alignment horizontal="center" vertical="center" wrapText="1"/>
    </xf>
    <xf numFmtId="0" fontId="1" fillId="0" borderId="61" applyFill="0">
      <alignment horizontal="center" vertical="center" wrapText="1"/>
    </xf>
    <xf numFmtId="49" fontId="3" fillId="9" borderId="61">
      <alignment horizontal="center" vertical="center" wrapText="1"/>
    </xf>
    <xf numFmtId="0" fontId="1" fillId="9" borderId="0" applyBorder="0">
      <alignment horizontal="center" vertical="center" wrapText="1"/>
    </xf>
    <xf numFmtId="0" fontId="1" fillId="0" borderId="62" applyFill="0">
      <alignment horizontal="center" vertical="center" wrapText="1"/>
    </xf>
    <xf numFmtId="0" fontId="11" fillId="9" borderId="0" applyBorder="0">
      <alignment horizontal="center" vertical="center" wrapText="1"/>
    </xf>
    <xf numFmtId="0" fontId="21" fillId="0" borderId="19" applyFill="0">
      <alignment horizontal="center" vertical="center" wrapText="1"/>
    </xf>
    <xf numFmtId="0" fontId="21" fillId="0" borderId="5" applyFill="0">
      <alignment horizontal="center" vertical="center" wrapText="1"/>
    </xf>
    <xf numFmtId="0" fontId="21" fillId="0" borderId="37" applyFill="0">
      <alignment horizontal="center" vertical="center" wrapText="1"/>
    </xf>
    <xf numFmtId="49" fontId="3" fillId="9" borderId="63">
      <alignment horizontal="center" vertical="center" wrapText="1"/>
    </xf>
    <xf numFmtId="4" fontId="3" fillId="8" borderId="16">
      <alignment horizontal="center" vertical="center" wrapText="1"/>
    </xf>
    <xf numFmtId="49" fontId="3" fillId="6" borderId="16">
      <alignment horizontal="left" vertical="center" wrapText="1"/>
      <protection locked="0"/>
    </xf>
    <xf numFmtId="0" fontId="3" fillId="0" borderId="16" applyFill="0">
      <alignment vertical="center" wrapText="1"/>
    </xf>
    <xf numFmtId="0" fontId="3" fillId="0" borderId="16" quotePrefix="1" applyFill="0">
      <alignment horizontal="center" vertical="center" wrapText="1"/>
    </xf>
    <xf numFmtId="49" fontId="3" fillId="6" borderId="16">
      <alignment horizontal="left" vertical="center" wrapText="1"/>
    </xf>
    <xf numFmtId="0" fontId="13" fillId="0" borderId="22" applyFill="0">
      <alignment horizontal="left" vertical="center" wrapText="1"/>
    </xf>
    <xf numFmtId="0" fontId="13" fillId="0" borderId="16" applyFill="0">
      <alignment vertical="center" wrapText="1"/>
    </xf>
    <xf numFmtId="49" fontId="13" fillId="0" borderId="16" applyFill="0">
      <alignment horizontal="center" vertical="center" wrapText="1"/>
    </xf>
    <xf numFmtId="4" fontId="13" fillId="6" borderId="16">
      <alignment horizontal="right" vertical="center" wrapText="1"/>
      <protection locked="0"/>
    </xf>
    <xf numFmtId="49" fontId="13" fillId="6" borderId="16">
      <alignment horizontal="left" vertical="center" wrapText="1"/>
      <protection locked="0"/>
    </xf>
    <xf numFmtId="0" fontId="13" fillId="0" borderId="47" applyFill="0">
      <alignment horizontal="left" vertical="center" wrapText="1"/>
    </xf>
    <xf numFmtId="4" fontId="13" fillId="6" borderId="16">
      <alignment horizontal="right" vertical="center" wrapText="1"/>
    </xf>
    <xf numFmtId="0" fontId="13" fillId="0" borderId="21" applyFill="0">
      <alignment horizontal="left" vertical="center" wrapText="1"/>
    </xf>
    <xf numFmtId="0" fontId="13" fillId="0" borderId="16" applyFill="0">
      <alignment horizontal="left" vertical="center" wrapText="1"/>
    </xf>
    <xf numFmtId="49" fontId="3" fillId="0" borderId="22" applyFill="0">
      <alignment horizontal="center" vertical="center" wrapText="1"/>
    </xf>
    <xf numFmtId="49" fontId="3" fillId="13" borderId="19">
      <alignment horizontal="center" vertical="center" wrapText="1"/>
    </xf>
    <xf numFmtId="49" fontId="3" fillId="13" borderId="5">
      <alignment vertical="center" wrapText="1"/>
    </xf>
    <xf numFmtId="49" fontId="3" fillId="13" borderId="5">
      <alignment horizontal="center" vertical="center" wrapText="1"/>
    </xf>
    <xf numFmtId="49" fontId="3" fillId="13" borderId="37">
      <alignment horizontal="center" vertical="center" wrapText="1"/>
    </xf>
    <xf numFmtId="49" fontId="3" fillId="0" borderId="21" applyFill="0">
      <alignment horizontal="center" vertical="center" wrapText="1"/>
    </xf>
    <xf numFmtId="0" fontId="3" fillId="15" borderId="16">
      <alignment horizontal="left" vertical="center" wrapText="1"/>
    </xf>
    <xf numFmtId="0" fontId="3" fillId="4" borderId="16">
      <alignment horizontal="left" vertical="center" wrapText="1"/>
    </xf>
    <xf numFmtId="0" fontId="16" fillId="0" borderId="15" applyFill="0">
      <alignment horizontal="left" vertical="center" wrapText="1"/>
    </xf>
    <xf numFmtId="0" fontId="16" fillId="0" borderId="15" applyFill="0">
      <alignment vertical="center" wrapText="1"/>
    </xf>
    <xf numFmtId="0" fontId="3" fillId="0" borderId="2" applyFill="0">
      <alignment horizontal="left" vertical="center" wrapText="1"/>
    </xf>
    <xf numFmtId="0" fontId="3" fillId="12" borderId="1">
      <alignment horizontal="center" vertical="center" wrapText="1"/>
    </xf>
    <xf numFmtId="0" fontId="3" fillId="12" borderId="2">
      <alignment horizontal="center" vertical="center" wrapText="1"/>
    </xf>
    <xf numFmtId="0" fontId="3" fillId="12" borderId="3">
      <alignment horizontal="center" vertical="center" wrapText="1"/>
    </xf>
    <xf numFmtId="0" fontId="3" fillId="12" borderId="36">
      <alignment horizontal="center" vertical="center" wrapText="1"/>
    </xf>
    <xf numFmtId="0" fontId="3" fillId="12" borderId="4">
      <alignment horizontal="center" vertical="center" wrapText="1"/>
    </xf>
    <xf numFmtId="0" fontId="3" fillId="12" borderId="28">
      <alignment horizontal="center" vertical="center" wrapText="1"/>
    </xf>
    <xf numFmtId="0" fontId="22" fillId="0" borderId="4" applyFill="0">
      <alignment horizontal="center" vertical="center" wrapText="1"/>
    </xf>
    <xf numFmtId="4" fontId="3" fillId="8" borderId="4">
      <alignment horizontal="right" vertical="center" wrapText="1"/>
    </xf>
    <xf numFmtId="4" fontId="3" fillId="0" borderId="4" applyFill="0">
      <alignment horizontal="right" vertical="center" wrapText="1"/>
    </xf>
    <xf numFmtId="0" fontId="1" fillId="0" borderId="0" applyFill="0" applyBorder="0">
      <alignment horizontal="center" vertical="center" wrapText="1"/>
    </xf>
    <xf numFmtId="0" fontId="16" fillId="0" borderId="0" applyFill="0" applyBorder="0">
      <alignment horizontal="center" wrapText="1"/>
    </xf>
    <xf numFmtId="0" fontId="1" fillId="0" borderId="4" applyFill="0">
      <alignment horizontal="left" vertical="center" wrapText="1"/>
    </xf>
    <xf numFmtId="0" fontId="1" fillId="0" borderId="4" applyFill="0">
      <alignment horizontal="center" vertical="center" wrapText="1"/>
    </xf>
    <xf numFmtId="0" fontId="2" fillId="0" borderId="0" applyFill="0" applyBorder="0">
      <alignment horizontal="right" vertical="center" wrapText="1"/>
    </xf>
    <xf numFmtId="0" fontId="7" fillId="0" borderId="2" applyFill="0">
      <alignment horizontal="left" vertical="center" wrapText="1"/>
    </xf>
    <xf numFmtId="0" fontId="3" fillId="0" borderId="13" applyFill="0">
      <alignment horizontal="center" vertical="center" wrapText="1"/>
    </xf>
    <xf numFmtId="0" fontId="22" fillId="0" borderId="11" applyFill="0">
      <alignment horizontal="center" vertical="center" wrapText="1"/>
    </xf>
    <xf numFmtId="0" fontId="22" fillId="0" borderId="9" applyFill="0">
      <alignment horizontal="center" vertical="center" wrapText="1"/>
    </xf>
    <xf numFmtId="0" fontId="22" fillId="0" borderId="27" applyFill="0">
      <alignment horizontal="center" vertical="center" wrapText="1"/>
    </xf>
    <xf numFmtId="0" fontId="3" fillId="0" borderId="17" applyFill="0">
      <alignment horizontal="right" vertical="center" wrapText="1"/>
    </xf>
    <xf numFmtId="0" fontId="3" fillId="0" borderId="64" applyFill="0">
      <alignment horizontal="right" vertical="center" wrapText="1"/>
    </xf>
    <xf numFmtId="0" fontId="3" fillId="7" borderId="11">
      <alignment horizontal="center" vertical="center" wrapText="1"/>
    </xf>
    <xf numFmtId="0" fontId="3" fillId="7" borderId="11">
      <alignment vertical="center" wrapText="1"/>
    </xf>
    <xf numFmtId="171" fontId="3" fillId="8" borderId="27">
      <alignment horizontal="right" vertical="center" wrapText="1"/>
    </xf>
    <xf numFmtId="49" fontId="3" fillId="3" borderId="65">
      <alignment horizontal="left" vertical="center" wrapText="1"/>
    </xf>
    <xf numFmtId="0" fontId="3" fillId="0" borderId="65" applyFill="0">
      <alignment horizontal="center" vertical="center" wrapText="1"/>
    </xf>
    <xf numFmtId="171" fontId="3" fillId="6" borderId="27">
      <alignment horizontal="right" vertical="center" wrapText="1"/>
    </xf>
    <xf numFmtId="49" fontId="3" fillId="3" borderId="65">
      <alignment horizontal="left" vertical="center" wrapText="1"/>
      <protection locked="0"/>
    </xf>
    <xf numFmtId="171" fontId="3" fillId="6" borderId="27">
      <alignment horizontal="right" vertical="center" wrapText="1"/>
      <protection locked="0"/>
    </xf>
    <xf numFmtId="0" fontId="2" fillId="11" borderId="66">
      <alignment horizontal="center" vertical="center" wrapText="1"/>
    </xf>
    <xf numFmtId="0" fontId="15" fillId="11" borderId="17">
      <alignment horizontal="left" vertical="center" wrapText="1"/>
    </xf>
    <xf numFmtId="0" fontId="2" fillId="11" borderId="5">
      <alignment horizontal="center" vertical="center" wrapText="1"/>
    </xf>
    <xf numFmtId="171" fontId="2" fillId="11" borderId="31">
      <alignment horizontal="center" vertical="center" wrapText="1"/>
    </xf>
    <xf numFmtId="171" fontId="2" fillId="11" borderId="31">
      <alignment horizontal="left" vertical="center" wrapText="1"/>
    </xf>
    <xf numFmtId="171" fontId="2" fillId="11" borderId="26">
      <alignment horizontal="center" vertical="center" wrapText="1"/>
    </xf>
    <xf numFmtId="0" fontId="3" fillId="0" borderId="11" applyFill="0">
      <alignment horizontal="left" vertical="center" wrapText="1"/>
    </xf>
    <xf numFmtId="0" fontId="2" fillId="11" borderId="35">
      <alignment horizontal="center" vertical="center" wrapText="1"/>
    </xf>
    <xf numFmtId="0" fontId="2" fillId="11" borderId="17">
      <alignment horizontal="center" vertical="center" wrapText="1"/>
    </xf>
    <xf numFmtId="171" fontId="3" fillId="0" borderId="27" applyFill="0">
      <alignment horizontal="right" vertical="center" wrapText="1"/>
    </xf>
    <xf numFmtId="0" fontId="3" fillId="7" borderId="9">
      <alignment horizontal="center" vertical="center" wrapText="1"/>
    </xf>
    <xf numFmtId="0" fontId="3" fillId="7" borderId="9">
      <alignment vertical="center" wrapText="1"/>
    </xf>
    <xf numFmtId="0" fontId="2" fillId="11" borderId="19">
      <alignment horizontal="center" vertical="center" wrapText="1"/>
    </xf>
    <xf numFmtId="0" fontId="15" fillId="11" borderId="5">
      <alignment horizontal="left" vertical="center" wrapText="1"/>
    </xf>
    <xf numFmtId="0" fontId="3" fillId="9" borderId="12">
      <alignment vertical="center" wrapText="1"/>
    </xf>
    <xf numFmtId="0" fontId="3" fillId="0" borderId="28" applyFill="0">
      <alignment vertical="center" wrapText="1"/>
    </xf>
    <xf numFmtId="0" fontId="23" fillId="0" borderId="15" applyFill="0">
      <alignment vertical="center" wrapText="1"/>
    </xf>
    <xf numFmtId="0" fontId="3" fillId="0" borderId="67" applyFill="0">
      <alignment horizontal="center" vertical="center" wrapText="1"/>
    </xf>
    <xf numFmtId="0" fontId="3" fillId="0" borderId="68" applyFill="0">
      <alignment horizontal="center" vertical="center" wrapText="1"/>
    </xf>
    <xf numFmtId="0" fontId="3" fillId="0" borderId="69" applyFill="0">
      <alignment horizontal="center" vertical="center" wrapText="1"/>
    </xf>
    <xf numFmtId="0" fontId="3" fillId="0" borderId="70" applyFill="0">
      <alignment horizontal="center" vertical="center" wrapText="1"/>
    </xf>
    <xf numFmtId="0" fontId="3" fillId="0" borderId="71" applyFill="0">
      <alignment horizontal="center" vertical="center" wrapText="1"/>
    </xf>
    <xf numFmtId="0" fontId="3" fillId="0" borderId="72" applyFill="0">
      <alignment horizontal="center" vertical="center" wrapText="1"/>
    </xf>
    <xf numFmtId="0" fontId="3" fillId="0" borderId="73" applyFill="0">
      <alignment horizontal="center" vertical="center" wrapText="1"/>
    </xf>
    <xf numFmtId="0" fontId="3" fillId="0" borderId="74" applyFill="0">
      <alignment horizontal="center" vertical="center" wrapText="1"/>
    </xf>
    <xf numFmtId="0" fontId="3" fillId="0" borderId="75" applyFill="0">
      <alignment horizontal="center" vertical="center" wrapText="1"/>
    </xf>
    <xf numFmtId="0" fontId="3" fillId="0" borderId="76" applyFill="0">
      <alignment horizontal="center" vertical="center" wrapText="1"/>
    </xf>
    <xf numFmtId="0" fontId="3" fillId="0" borderId="77" applyFill="0">
      <alignment horizontal="center" vertical="center" wrapText="1"/>
    </xf>
    <xf numFmtId="0" fontId="3" fillId="0" borderId="78" applyFill="0">
      <alignment horizontal="center" vertical="center" wrapText="1"/>
    </xf>
    <xf numFmtId="0" fontId="3" fillId="0" borderId="79" applyFill="0">
      <alignment horizontal="center" vertical="center" wrapText="1"/>
    </xf>
    <xf numFmtId="0" fontId="22" fillId="4" borderId="11">
      <alignment horizontal="center" vertical="center" wrapText="1"/>
    </xf>
    <xf numFmtId="0" fontId="24" fillId="4" borderId="69">
      <alignment horizontal="center" vertical="center" wrapText="1"/>
    </xf>
    <xf numFmtId="0" fontId="24" fillId="4" borderId="11">
      <alignment horizontal="center" vertical="center" wrapText="1"/>
    </xf>
    <xf numFmtId="0" fontId="24" fillId="4" borderId="36">
      <alignment horizontal="center" vertical="center" wrapText="1"/>
    </xf>
    <xf numFmtId="0" fontId="3" fillId="7" borderId="11">
      <alignment horizontal="left" vertical="center" wrapText="1"/>
    </xf>
    <xf numFmtId="0" fontId="3" fillId="9" borderId="11">
      <alignment horizontal="left" vertical="center" wrapText="1"/>
    </xf>
    <xf numFmtId="49" fontId="3" fillId="0" borderId="9" applyFill="0">
      <alignment horizontal="center" vertical="center" wrapText="1"/>
    </xf>
    <xf numFmtId="0" fontId="2" fillId="0" borderId="19" applyFill="0">
      <alignment horizontal="left" vertical="center" wrapText="1"/>
    </xf>
    <xf numFmtId="49" fontId="3" fillId="0" borderId="11" applyFill="0">
      <alignment horizontal="center" vertical="center" wrapText="1"/>
    </xf>
    <xf numFmtId="4" fontId="3" fillId="8" borderId="27">
      <alignment horizontal="right" vertical="center" wrapText="1"/>
    </xf>
    <xf numFmtId="0" fontId="1" fillId="0" borderId="0" applyFill="0" applyBorder="0">
      <alignment wrapText="1"/>
    </xf>
    <xf numFmtId="0" fontId="1" fillId="0" borderId="0" applyFill="0" applyBorder="0">
      <alignment horizontal="center" wrapText="1"/>
    </xf>
    <xf numFmtId="0" fontId="1" fillId="0" borderId="0" applyFill="0" applyBorder="0">
      <alignment horizontal="center"/>
    </xf>
    <xf numFmtId="0" fontId="3" fillId="0" borderId="80" applyFill="0">
      <alignment horizontal="center" vertical="center" wrapText="1"/>
    </xf>
    <xf numFmtId="0" fontId="3" fillId="0" borderId="81" applyFill="0">
      <alignment horizontal="center" vertical="center" wrapText="1"/>
    </xf>
    <xf numFmtId="0" fontId="3" fillId="0" borderId="82" applyFill="0">
      <alignment horizontal="center" vertical="center" wrapText="1"/>
    </xf>
    <xf numFmtId="0" fontId="3" fillId="0" borderId="83" applyFill="0">
      <alignment horizontal="center" vertical="center" wrapText="1"/>
    </xf>
    <xf numFmtId="0" fontId="24" fillId="4" borderId="78">
      <alignment horizontal="center" vertical="center" wrapText="1"/>
    </xf>
    <xf numFmtId="0" fontId="24" fillId="4" borderId="83">
      <alignment horizontal="center" vertical="center" wrapText="1"/>
    </xf>
    <xf numFmtId="0" fontId="3" fillId="0" borderId="84" applyFill="0">
      <alignment horizontal="center" vertical="center" wrapText="1"/>
    </xf>
    <xf numFmtId="0" fontId="3" fillId="4" borderId="4">
      <alignment horizontal="center" vertical="center" wrapText="1"/>
    </xf>
    <xf numFmtId="0" fontId="3" fillId="0" borderId="85" applyFill="0">
      <alignment horizontal="center" vertical="center" wrapText="1"/>
    </xf>
    <xf numFmtId="49" fontId="3" fillId="0" borderId="14" applyFill="0">
      <alignment horizontal="center" vertical="center" wrapText="1"/>
    </xf>
    <xf numFmtId="49" fontId="3" fillId="0" borderId="15" applyFill="0">
      <alignment horizontal="center" vertical="center" wrapText="1"/>
    </xf>
    <xf numFmtId="49" fontId="3" fillId="0" borderId="82" applyFill="0">
      <alignment horizontal="center" vertical="center" wrapText="1"/>
    </xf>
    <xf numFmtId="49" fontId="3" fillId="4" borderId="14">
      <alignment horizontal="center" vertical="center" wrapText="1"/>
    </xf>
    <xf numFmtId="49" fontId="3" fillId="4" borderId="15">
      <alignment horizontal="center" vertical="center" wrapText="1"/>
    </xf>
    <xf numFmtId="49" fontId="3" fillId="4" borderId="82">
      <alignment horizontal="center" vertical="center" wrapText="1"/>
    </xf>
    <xf numFmtId="0" fontId="3" fillId="0" borderId="86" applyFill="0">
      <alignment horizontal="center" vertical="center" wrapText="1"/>
    </xf>
    <xf numFmtId="49" fontId="3" fillId="4" borderId="11">
      <alignment horizontal="center" vertical="center" wrapText="1"/>
    </xf>
    <xf numFmtId="0" fontId="3" fillId="4" borderId="11">
      <alignment vertical="center" wrapText="1"/>
    </xf>
    <xf numFmtId="172" fontId="3" fillId="8" borderId="27">
      <alignment horizontal="right" vertical="center" wrapText="1"/>
    </xf>
    <xf numFmtId="173" fontId="3" fillId="8" borderId="27">
      <alignment horizontal="right" vertical="center" wrapText="1"/>
    </xf>
    <xf numFmtId="173" fontId="3" fillId="6" borderId="27">
      <alignment horizontal="right" vertical="center" wrapText="1"/>
    </xf>
    <xf numFmtId="0" fontId="1" fillId="11" borderId="11">
      <alignment vertical="center" wrapText="1"/>
    </xf>
    <xf numFmtId="0" fontId="15" fillId="11" borderId="2">
      <alignment horizontal="left" vertical="center" wrapText="1"/>
    </xf>
    <xf numFmtId="172" fontId="3" fillId="11" borderId="31">
      <alignment vertical="center" wrapText="1"/>
    </xf>
    <xf numFmtId="172" fontId="3" fillId="11" borderId="26">
      <alignment vertical="center" wrapText="1"/>
    </xf>
    <xf numFmtId="49" fontId="1" fillId="0" borderId="4" applyFill="0">
      <alignment horizontal="center" vertical="center" wrapText="1"/>
    </xf>
    <xf numFmtId="49" fontId="3" fillId="8" borderId="65">
      <alignment horizontal="left" vertical="center" wrapText="1"/>
    </xf>
    <xf numFmtId="173" fontId="3" fillId="6" borderId="27">
      <alignment horizontal="right" vertical="center" wrapText="1"/>
      <protection locked="0"/>
    </xf>
    <xf numFmtId="172" fontId="3" fillId="6" borderId="27">
      <alignment horizontal="right" vertical="center" wrapText="1"/>
      <protection locked="0"/>
    </xf>
    <xf numFmtId="172" fontId="3" fillId="6" borderId="27">
      <alignment horizontal="right" vertical="center" wrapText="1"/>
    </xf>
    <xf numFmtId="172" fontId="3" fillId="0" borderId="27" applyFill="0">
      <alignment horizontal="right" vertical="center" wrapText="1"/>
    </xf>
    <xf numFmtId="0" fontId="3" fillId="0" borderId="27" applyFill="0">
      <alignment vertical="center" wrapText="1"/>
    </xf>
    <xf numFmtId="172" fontId="3" fillId="0" borderId="27" applyFill="0">
      <alignment vertical="center" wrapText="1"/>
    </xf>
    <xf numFmtId="0" fontId="15" fillId="11" borderId="1">
      <alignment horizontal="left" vertical="center" wrapText="1"/>
    </xf>
    <xf numFmtId="49" fontId="3" fillId="4" borderId="4">
      <alignment horizontal="center" vertical="center" wrapText="1"/>
    </xf>
    <xf numFmtId="0" fontId="1" fillId="4" borderId="1">
      <alignment vertical="center" wrapText="1"/>
    </xf>
    <xf numFmtId="49" fontId="1" fillId="0" borderId="0" applyFill="0" applyBorder="0">
      <alignment vertical="center"/>
    </xf>
    <xf numFmtId="0" fontId="25" fillId="10" borderId="0" applyBorder="0">
      <alignment horizontal="center" vertical="center" wrapText="1"/>
    </xf>
    <xf numFmtId="0" fontId="2" fillId="10" borderId="0" applyBorder="0">
      <alignment horizontal="center" vertical="center" wrapText="1"/>
    </xf>
    <xf numFmtId="0" fontId="2" fillId="10" borderId="0" applyBorder="0">
      <alignment vertical="center" wrapText="1"/>
    </xf>
    <xf numFmtId="0" fontId="26" fillId="0" borderId="0" applyFill="0" applyBorder="0">
      <alignment horizontal="center" vertical="center" wrapText="1"/>
    </xf>
    <xf numFmtId="0" fontId="2" fillId="0" borderId="26" applyFill="0">
      <alignment horizontal="left" vertical="center" wrapText="1"/>
    </xf>
    <xf numFmtId="0" fontId="2" fillId="3" borderId="37">
      <alignment horizontal="center" vertical="center" wrapText="1"/>
    </xf>
    <xf numFmtId="49" fontId="2" fillId="0" borderId="27" applyFill="0">
      <alignment horizontal="center" vertical="center" wrapText="1"/>
    </xf>
    <xf numFmtId="0" fontId="2" fillId="0" borderId="27" applyFill="0">
      <alignment horizontal="center" vertical="center" wrapText="1"/>
    </xf>
    <xf numFmtId="0" fontId="3" fillId="15" borderId="21">
      <alignment horizontal="center" vertical="center" wrapText="1"/>
    </xf>
    <xf numFmtId="0" fontId="3" fillId="0" borderId="37" applyFill="0">
      <alignment horizontal="center" vertical="center" wrapText="1"/>
    </xf>
    <xf numFmtId="0" fontId="3" fillId="4" borderId="37">
      <alignment horizontal="center" vertical="center" wrapText="1"/>
    </xf>
    <xf numFmtId="0" fontId="3" fillId="4" borderId="19">
      <alignment horizontal="center" vertical="center" wrapText="1"/>
    </xf>
    <xf numFmtId="0" fontId="3" fillId="15" borderId="48">
      <alignment horizontal="center" vertical="center" wrapText="1"/>
    </xf>
    <xf numFmtId="0" fontId="3" fillId="15" borderId="18">
      <alignment horizontal="center" vertical="center" wrapText="1"/>
    </xf>
    <xf numFmtId="0" fontId="3" fillId="15" borderId="43">
      <alignment horizontal="center" vertical="center" wrapText="1"/>
    </xf>
    <xf numFmtId="0" fontId="3" fillId="15" borderId="22">
      <alignment horizontal="center" vertical="center" wrapText="1"/>
    </xf>
    <xf numFmtId="0" fontId="3" fillId="15" borderId="20">
      <alignment horizontal="center" vertical="center" wrapText="1"/>
    </xf>
    <xf numFmtId="0" fontId="3" fillId="15" borderId="87">
      <alignment horizontal="center" vertical="center" wrapText="1"/>
    </xf>
    <xf numFmtId="0" fontId="3" fillId="15" borderId="88">
      <alignment horizontal="center" vertical="center" wrapText="1"/>
    </xf>
    <xf numFmtId="0" fontId="3" fillId="6" borderId="27">
      <alignment vertical="center" wrapText="1"/>
    </xf>
    <xf numFmtId="0" fontId="3" fillId="4" borderId="21">
      <alignment horizontal="center" vertical="center" wrapText="1"/>
    </xf>
    <xf numFmtId="0" fontId="3" fillId="4" borderId="89">
      <alignment vertical="center" wrapText="1"/>
    </xf>
    <xf numFmtId="0" fontId="3" fillId="4" borderId="16">
      <alignment vertical="center" wrapText="1"/>
    </xf>
    <xf numFmtId="0" fontId="3" fillId="4" borderId="90">
      <alignment vertical="center" wrapText="1"/>
    </xf>
    <xf numFmtId="0" fontId="3" fillId="4" borderId="89">
      <alignment horizontal="center" vertical="center" wrapText="1"/>
    </xf>
    <xf numFmtId="0" fontId="3" fillId="4" borderId="90">
      <alignment horizontal="center" vertical="center" wrapText="1"/>
    </xf>
    <xf numFmtId="0" fontId="2" fillId="4" borderId="19">
      <alignment horizontal="left" vertical="center" wrapText="1"/>
    </xf>
    <xf numFmtId="0" fontId="2" fillId="4" borderId="5">
      <alignment horizontal="left" vertical="center" wrapText="1"/>
    </xf>
    <xf numFmtId="49" fontId="3" fillId="0" borderId="91" applyFill="0">
      <alignment horizontal="left" vertical="center" wrapText="1"/>
    </xf>
    <xf numFmtId="0" fontId="2" fillId="4" borderId="65">
      <alignment horizontal="center" vertical="center" wrapText="1"/>
    </xf>
    <xf numFmtId="0" fontId="3" fillId="4" borderId="5">
      <alignment horizontal="center" vertical="center" wrapText="1"/>
    </xf>
    <xf numFmtId="0" fontId="3" fillId="4" borderId="5">
      <alignment vertical="center" wrapText="1"/>
    </xf>
    <xf numFmtId="4" fontId="3" fillId="4" borderId="5">
      <alignment horizontal="left" vertical="center" wrapText="1"/>
    </xf>
    <xf numFmtId="4" fontId="3" fillId="4" borderId="92">
      <alignment horizontal="left" vertical="center" wrapText="1"/>
    </xf>
    <xf numFmtId="4" fontId="3" fillId="4" borderId="93">
      <alignment horizontal="left" vertical="center" wrapText="1"/>
    </xf>
    <xf numFmtId="0" fontId="2" fillId="9" borderId="0" applyBorder="0">
      <alignment horizontal="center" vertical="center" wrapText="1"/>
    </xf>
    <xf numFmtId="49" fontId="2" fillId="0" borderId="27" quotePrefix="1" applyFill="0">
      <alignment horizontal="center" vertical="center" wrapText="1"/>
    </xf>
    <xf numFmtId="0" fontId="2" fillId="0" borderId="27" applyFill="0">
      <alignment horizontal="left" vertical="center" wrapText="1"/>
    </xf>
    <xf numFmtId="0" fontId="2" fillId="0" borderId="37" applyFill="0">
      <alignment horizontal="center" vertical="center" wrapText="1"/>
    </xf>
    <xf numFmtId="10" fontId="3" fillId="6" borderId="50">
      <alignment horizontal="right" vertical="center" wrapText="1"/>
      <protection locked="0"/>
    </xf>
    <xf numFmtId="10" fontId="3" fillId="6" borderId="19">
      <alignment horizontal="right" vertical="center" wrapText="1"/>
      <protection locked="0"/>
    </xf>
    <xf numFmtId="10" fontId="3" fillId="8" borderId="27">
      <alignment horizontal="right" vertical="center" wrapText="1"/>
    </xf>
    <xf numFmtId="10" fontId="3" fillId="6" borderId="94">
      <alignment horizontal="right" vertical="center" wrapText="1"/>
    </xf>
    <xf numFmtId="10" fontId="3" fillId="6" borderId="37">
      <alignment horizontal="right" vertical="center" wrapText="1"/>
      <protection locked="0"/>
    </xf>
    <xf numFmtId="10" fontId="3" fillId="6" borderId="89">
      <alignment horizontal="right" vertical="center" wrapText="1"/>
    </xf>
    <xf numFmtId="0" fontId="3" fillId="13" borderId="95">
      <alignment horizontal="left" vertical="center" wrapText="1"/>
    </xf>
    <xf numFmtId="10" fontId="3" fillId="8" borderId="89">
      <alignment horizontal="right" vertical="center" wrapText="1"/>
    </xf>
    <xf numFmtId="10" fontId="3" fillId="6" borderId="96">
      <alignment horizontal="right" vertical="center" wrapText="1"/>
    </xf>
    <xf numFmtId="10" fontId="3" fillId="6" borderId="97">
      <alignment horizontal="right" vertical="center" wrapText="1"/>
    </xf>
    <xf numFmtId="10" fontId="3" fillId="6" borderId="27">
      <alignment horizontal="right" vertical="center" wrapText="1"/>
    </xf>
    <xf numFmtId="10" fontId="3" fillId="6" borderId="19">
      <alignment horizontal="right" vertical="center" wrapText="1"/>
    </xf>
    <xf numFmtId="10" fontId="3" fillId="6" borderId="4">
      <alignment horizontal="right" vertical="center" wrapText="1"/>
    </xf>
    <xf numFmtId="49" fontId="3" fillId="6" borderId="4">
      <alignment horizontal="left" vertical="center" wrapText="1"/>
      <protection locked="0"/>
    </xf>
    <xf numFmtId="49" fontId="3" fillId="6" borderId="4">
      <alignment horizontal="left" vertical="center" wrapText="1"/>
    </xf>
    <xf numFmtId="10" fontId="3" fillId="6" borderId="98">
      <alignment horizontal="right" vertical="center" wrapText="1"/>
    </xf>
    <xf numFmtId="10" fontId="3" fillId="6" borderId="99">
      <alignment horizontal="right" vertical="center" wrapText="1"/>
    </xf>
    <xf numFmtId="4" fontId="3" fillId="6" borderId="50">
      <alignment horizontal="right" vertical="center" wrapText="1"/>
    </xf>
    <xf numFmtId="4" fontId="3" fillId="6" borderId="50">
      <alignment horizontal="right" vertical="center" wrapText="1"/>
      <protection locked="0"/>
    </xf>
    <xf numFmtId="4" fontId="3" fillId="8" borderId="19">
      <alignment horizontal="right" vertical="center" wrapText="1"/>
    </xf>
    <xf numFmtId="4" fontId="3" fillId="6" borderId="5">
      <alignment horizontal="right" vertical="center" wrapText="1"/>
    </xf>
    <xf numFmtId="4" fontId="3" fillId="8" borderId="37">
      <alignment horizontal="right" vertical="center" wrapText="1"/>
    </xf>
    <xf numFmtId="4" fontId="3" fillId="8" borderId="89">
      <alignment horizontal="right" vertical="center" wrapText="1"/>
    </xf>
    <xf numFmtId="4" fontId="3" fillId="6" borderId="27">
      <alignment horizontal="right" vertical="center" wrapText="1"/>
    </xf>
    <xf numFmtId="4" fontId="3" fillId="6" borderId="19">
      <alignment horizontal="right" vertical="center" wrapText="1"/>
    </xf>
    <xf numFmtId="4" fontId="3" fillId="3" borderId="50">
      <alignment horizontal="right" vertical="center" wrapText="1"/>
    </xf>
    <xf numFmtId="4" fontId="3" fillId="3" borderId="50">
      <alignment horizontal="right" vertical="center" wrapText="1"/>
      <protection locked="0"/>
    </xf>
    <xf numFmtId="4" fontId="3" fillId="3" borderId="19">
      <alignment horizontal="right" vertical="center" wrapText="1"/>
      <protection locked="0"/>
    </xf>
    <xf numFmtId="4" fontId="3" fillId="3" borderId="5">
      <alignment horizontal="right" vertical="center" wrapText="1"/>
    </xf>
    <xf numFmtId="4" fontId="3" fillId="3" borderId="37">
      <alignment horizontal="right" vertical="center" wrapText="1"/>
      <protection locked="0"/>
    </xf>
    <xf numFmtId="4" fontId="3" fillId="3" borderId="16">
      <alignment horizontal="right" vertical="center" wrapText="1"/>
    </xf>
    <xf numFmtId="4" fontId="3" fillId="3" borderId="16">
      <alignment horizontal="right" vertical="center" wrapText="1"/>
      <protection locked="0"/>
    </xf>
    <xf numFmtId="4" fontId="3" fillId="3" borderId="89">
      <alignment horizontal="right" vertical="center" wrapText="1"/>
    </xf>
    <xf numFmtId="4" fontId="3" fillId="3" borderId="27">
      <alignment horizontal="right" vertical="center" wrapText="1"/>
    </xf>
    <xf numFmtId="4" fontId="3" fillId="3" borderId="19">
      <alignment horizontal="right" vertical="center" wrapText="1"/>
    </xf>
    <xf numFmtId="4" fontId="3" fillId="3" borderId="4">
      <alignment horizontal="right" vertical="center" wrapText="1"/>
    </xf>
    <xf numFmtId="49" fontId="3" fillId="0" borderId="27" quotePrefix="1" applyFill="0">
      <alignment horizontal="center" vertical="center" wrapText="1"/>
    </xf>
    <xf numFmtId="0" fontId="3" fillId="0" borderId="27" applyFill="0">
      <alignment horizontal="left" vertical="center" wrapText="1"/>
    </xf>
    <xf numFmtId="10" fontId="3" fillId="8" borderId="19">
      <alignment horizontal="right" vertical="center" wrapText="1"/>
    </xf>
    <xf numFmtId="10" fontId="3" fillId="8" borderId="4">
      <alignment horizontal="right" vertical="center" wrapText="1"/>
    </xf>
    <xf numFmtId="4" fontId="3" fillId="8" borderId="50">
      <alignment horizontal="right" vertical="center" wrapText="1"/>
    </xf>
    <xf numFmtId="4" fontId="3" fillId="8" borderId="100">
      <alignment horizontal="right" vertical="center" wrapText="1"/>
    </xf>
    <xf numFmtId="4" fontId="3" fillId="8" borderId="94">
      <alignment horizontal="right" vertical="center" wrapText="1"/>
    </xf>
    <xf numFmtId="4" fontId="3" fillId="8" borderId="101">
      <alignment horizontal="right" vertical="center" wrapText="1"/>
    </xf>
    <xf numFmtId="172" fontId="3" fillId="8" borderId="50">
      <alignment horizontal="right" vertical="center" wrapText="1"/>
    </xf>
    <xf numFmtId="172" fontId="3" fillId="8" borderId="102">
      <alignment horizontal="right" vertical="center" wrapText="1"/>
    </xf>
    <xf numFmtId="174" fontId="3" fillId="8" borderId="19">
      <alignment horizontal="right" vertical="center" wrapText="1"/>
    </xf>
    <xf numFmtId="174" fontId="3" fillId="8" borderId="27">
      <alignment horizontal="right" vertical="center" wrapText="1"/>
    </xf>
    <xf numFmtId="174" fontId="3" fillId="8" borderId="5">
      <alignment horizontal="right" vertical="center" wrapText="1"/>
    </xf>
    <xf numFmtId="172" fontId="3" fillId="8" borderId="42">
      <alignment horizontal="right" vertical="center" wrapText="1"/>
    </xf>
    <xf numFmtId="172" fontId="3" fillId="8" borderId="22">
      <alignment horizontal="right" vertical="center" wrapText="1"/>
    </xf>
    <xf numFmtId="174" fontId="3" fillId="8" borderId="16">
      <alignment horizontal="right" vertical="center" wrapText="1"/>
    </xf>
    <xf numFmtId="172" fontId="3" fillId="8" borderId="16">
      <alignment horizontal="right" vertical="center" wrapText="1"/>
    </xf>
    <xf numFmtId="172" fontId="3" fillId="13" borderId="0" applyBorder="0">
      <alignment horizontal="left" vertical="center" wrapText="1"/>
    </xf>
    <xf numFmtId="172" fontId="3" fillId="8" borderId="0" applyBorder="0">
      <alignment horizontal="right" vertical="center" wrapText="1"/>
    </xf>
    <xf numFmtId="172" fontId="3" fillId="6" borderId="16">
      <alignment horizontal="right" vertical="center" wrapText="1"/>
    </xf>
    <xf numFmtId="172" fontId="3" fillId="8" borderId="89">
      <alignment horizontal="right" vertical="center" wrapText="1"/>
    </xf>
    <xf numFmtId="172" fontId="3" fillId="8" borderId="37">
      <alignment horizontal="right" vertical="center" wrapText="1"/>
    </xf>
    <xf numFmtId="172" fontId="3" fillId="8" borderId="19">
      <alignment horizontal="right" vertical="center" wrapText="1"/>
    </xf>
    <xf numFmtId="172" fontId="3" fillId="8" borderId="20">
      <alignment horizontal="right" vertical="center" wrapText="1"/>
    </xf>
    <xf numFmtId="10" fontId="3" fillId="4" borderId="94">
      <alignment horizontal="right" vertical="center" wrapText="1"/>
    </xf>
    <xf numFmtId="10" fontId="3" fillId="6" borderId="27">
      <alignment vertical="center" wrapText="1"/>
      <protection locked="0"/>
    </xf>
    <xf numFmtId="10" fontId="3" fillId="4" borderId="27">
      <alignment horizontal="right" vertical="center" wrapText="1"/>
    </xf>
    <xf numFmtId="10" fontId="3" fillId="4" borderId="5">
      <alignment horizontal="right" vertical="center" wrapText="1"/>
    </xf>
    <xf numFmtId="10" fontId="3" fillId="4" borderId="18">
      <alignment horizontal="right" vertical="center" wrapText="1"/>
    </xf>
    <xf numFmtId="10" fontId="3" fillId="6" borderId="27">
      <alignment horizontal="right" vertical="center" wrapText="1"/>
      <protection locked="0"/>
    </xf>
    <xf numFmtId="10" fontId="3" fillId="6" borderId="4">
      <alignment horizontal="right" vertical="center" wrapText="1"/>
      <protection locked="0"/>
    </xf>
    <xf numFmtId="10" fontId="3" fillId="4" borderId="92">
      <alignment horizontal="right" vertical="center" wrapText="1"/>
    </xf>
    <xf numFmtId="10" fontId="3" fillId="4" borderId="93">
      <alignment horizontal="right" vertical="center" wrapText="1"/>
    </xf>
    <xf numFmtId="0" fontId="2" fillId="4" borderId="20">
      <alignment horizontal="left" vertical="center" wrapText="1"/>
    </xf>
    <xf numFmtId="0" fontId="2" fillId="4" borderId="18">
      <alignment horizontal="left" vertical="center" wrapText="1"/>
    </xf>
    <xf numFmtId="0" fontId="3" fillId="4" borderId="94">
      <alignment horizontal="left" vertical="center" wrapText="1"/>
    </xf>
    <xf numFmtId="0" fontId="3" fillId="4" borderId="103">
      <alignment horizontal="left" vertical="center" wrapText="1"/>
    </xf>
    <xf numFmtId="0" fontId="3" fillId="4" borderId="5">
      <alignment horizontal="left" vertical="center" wrapText="1"/>
    </xf>
    <xf numFmtId="0" fontId="3" fillId="4" borderId="18">
      <alignment horizontal="left" vertical="center" wrapText="1"/>
    </xf>
    <xf numFmtId="4" fontId="3" fillId="4" borderId="5">
      <alignment vertical="center" wrapText="1"/>
    </xf>
    <xf numFmtId="4" fontId="3" fillId="0" borderId="104" applyFill="0">
      <alignment horizontal="left" vertical="center" wrapText="1"/>
    </xf>
    <xf numFmtId="4" fontId="3" fillId="0" borderId="95" applyFill="0">
      <alignment horizontal="left" vertical="center" wrapText="1"/>
    </xf>
    <xf numFmtId="49" fontId="3" fillId="0" borderId="4" applyFill="0">
      <alignment horizontal="left" vertical="center" wrapText="1"/>
    </xf>
    <xf numFmtId="49" fontId="3" fillId="0" borderId="1" applyFill="0">
      <alignment horizontal="left" vertical="center" wrapText="1"/>
    </xf>
    <xf numFmtId="49" fontId="3" fillId="0" borderId="2" applyFill="0">
      <alignment horizontal="left" vertical="center" wrapText="1"/>
    </xf>
    <xf numFmtId="49" fontId="3" fillId="0" borderId="3" applyFill="0">
      <alignment horizontal="left" vertical="center" wrapText="1"/>
    </xf>
    <xf numFmtId="4" fontId="3" fillId="8" borderId="90">
      <alignment horizontal="right" vertical="center" wrapText="1"/>
    </xf>
    <xf numFmtId="0" fontId="27" fillId="0" borderId="0" applyFont="0" applyFill="0" applyBorder="0">
      <alignment vertical="top"/>
      <protection locked="0"/>
    </xf>
    <xf numFmtId="0" fontId="3" fillId="0" borderId="27" quotePrefix="1" applyFill="0">
      <alignment horizontal="center" vertical="center" wrapText="1"/>
    </xf>
    <xf numFmtId="4" fontId="3" fillId="6" borderId="89">
      <alignment horizontal="right" vertical="center" wrapText="1"/>
    </xf>
    <xf numFmtId="0" fontId="3" fillId="0" borderId="64" applyFill="0">
      <alignment horizontal="center" vertical="center" wrapText="1"/>
    </xf>
    <xf numFmtId="0" fontId="2" fillId="0" borderId="64" applyFill="0">
      <alignment horizontal="left" vertical="center" wrapText="1"/>
    </xf>
    <xf numFmtId="0" fontId="2" fillId="0" borderId="42" applyFill="0">
      <alignment horizontal="center" vertical="center" wrapText="1"/>
    </xf>
    <xf numFmtId="4" fontId="3" fillId="6" borderId="102">
      <alignment horizontal="right" vertical="center" wrapText="1"/>
    </xf>
    <xf numFmtId="4" fontId="3" fillId="6" borderId="102">
      <alignment horizontal="right" vertical="center" wrapText="1"/>
      <protection locked="0"/>
    </xf>
    <xf numFmtId="4" fontId="3" fillId="6" borderId="22">
      <alignment horizontal="right" vertical="center" wrapText="1"/>
      <protection locked="0"/>
    </xf>
    <xf numFmtId="4" fontId="3" fillId="8" borderId="22">
      <alignment horizontal="right" vertical="center" wrapText="1"/>
    </xf>
    <xf numFmtId="4" fontId="3" fillId="6" borderId="22">
      <alignment horizontal="right" vertical="center" wrapText="1"/>
    </xf>
    <xf numFmtId="4" fontId="3" fillId="8" borderId="35">
      <alignment horizontal="right" vertical="center" wrapText="1"/>
    </xf>
    <xf numFmtId="4" fontId="3" fillId="6" borderId="105">
      <alignment horizontal="right" vertical="center" wrapText="1"/>
    </xf>
    <xf numFmtId="4" fontId="3" fillId="8" borderId="106">
      <alignment horizontal="right" vertical="center" wrapText="1"/>
    </xf>
    <xf numFmtId="49" fontId="3" fillId="6" borderId="36">
      <alignment horizontal="left" vertical="center" wrapText="1"/>
    </xf>
    <xf numFmtId="49" fontId="2" fillId="0" borderId="25" quotePrefix="1" applyFill="0">
      <alignment horizontal="center" vertical="center" wrapText="1"/>
    </xf>
    <xf numFmtId="49" fontId="3" fillId="6" borderId="27">
      <alignment horizontal="left" vertical="center" wrapText="1"/>
    </xf>
    <xf numFmtId="0" fontId="3" fillId="0" borderId="29" applyFill="0">
      <alignment horizontal="center" vertical="center" wrapText="1"/>
    </xf>
    <xf numFmtId="0" fontId="3" fillId="0" borderId="29" applyFill="0">
      <alignment horizontal="left" vertical="center" wrapText="1"/>
    </xf>
    <xf numFmtId="0" fontId="2" fillId="0" borderId="43" applyFill="0">
      <alignment horizontal="center" vertical="center" wrapText="1"/>
    </xf>
    <xf numFmtId="4" fontId="3" fillId="6" borderId="107">
      <alignment horizontal="right" vertical="center" wrapText="1"/>
    </xf>
    <xf numFmtId="4" fontId="3" fillId="6" borderId="21">
      <alignment horizontal="right" vertical="center" wrapText="1"/>
    </xf>
    <xf numFmtId="49" fontId="3" fillId="6" borderId="28">
      <alignment horizontal="left" vertical="center" wrapText="1"/>
    </xf>
    <xf numFmtId="0" fontId="76" fillId="0" borderId="0" applyFill="0" applyBorder="0">
      <alignment vertical="top"/>
    </xf>
    <xf numFmtId="0" fontId="3" fillId="0" borderId="0" applyFill="0" applyBorder="0">
      <alignment vertical="center" wrapText="1"/>
    </xf>
    <xf numFmtId="0" fontId="12" fillId="0" borderId="0" applyFill="0" applyBorder="0">
      <alignment vertical="top" wrapText="1"/>
    </xf>
    <xf numFmtId="0" fontId="76" fillId="0" borderId="0" applyFill="0" applyBorder="0">
      <alignment vertical="top"/>
      <protection locked="0"/>
    </xf>
    <xf numFmtId="49" fontId="3" fillId="0" borderId="27" quotePrefix="1" applyFill="0">
      <alignment horizontal="center" vertical="center" wrapText="1"/>
    </xf>
    <xf numFmtId="0" fontId="3" fillId="0" borderId="27" applyFill="0">
      <alignment horizontal="center" vertical="center" wrapText="1"/>
    </xf>
    <xf numFmtId="0" fontId="3" fillId="0" borderId="27" applyFill="0">
      <alignment horizontal="left" vertical="center" wrapText="1"/>
    </xf>
    <xf numFmtId="0" fontId="3" fillId="0" borderId="37" applyFill="0">
      <alignment horizontal="center" vertical="center" wrapText="1"/>
    </xf>
    <xf numFmtId="4" fontId="3" fillId="8" borderId="16">
      <alignment horizontal="right" vertical="center" wrapText="1"/>
    </xf>
    <xf numFmtId="4" fontId="3" fillId="8" borderId="19">
      <alignment horizontal="right" vertical="center" wrapText="1"/>
    </xf>
    <xf numFmtId="4" fontId="3" fillId="8" borderId="90">
      <alignment horizontal="right" vertical="center" wrapText="1"/>
    </xf>
    <xf numFmtId="4" fontId="3" fillId="8" borderId="107">
      <alignment horizontal="right" vertical="center" wrapText="1"/>
    </xf>
    <xf numFmtId="0" fontId="3" fillId="4" borderId="0" applyBorder="0">
      <alignment horizontal="left" vertical="center" wrapText="1"/>
    </xf>
    <xf numFmtId="4" fontId="3" fillId="6" borderId="35">
      <alignment horizontal="right" vertical="center" wrapText="1"/>
      <protection locked="0"/>
    </xf>
    <xf numFmtId="0" fontId="3" fillId="13" borderId="104">
      <alignment horizontal="left" vertical="center" wrapText="1"/>
    </xf>
    <xf numFmtId="4" fontId="3" fillId="4" borderId="42">
      <alignment horizontal="right" vertical="center" wrapText="1"/>
    </xf>
    <xf numFmtId="4" fontId="3" fillId="4" borderId="22">
      <alignment horizontal="right" vertical="center" wrapText="1"/>
    </xf>
    <xf numFmtId="4" fontId="3" fillId="4" borderId="35">
      <alignment horizontal="right" vertical="center" wrapText="1"/>
    </xf>
    <xf numFmtId="4" fontId="3" fillId="4" borderId="37">
      <alignment horizontal="right" vertical="center" wrapText="1"/>
    </xf>
    <xf numFmtId="4" fontId="3" fillId="4" borderId="16">
      <alignment horizontal="right" vertical="center" wrapText="1"/>
    </xf>
    <xf numFmtId="4" fontId="3" fillId="4" borderId="19">
      <alignment horizontal="right" vertical="center" wrapText="1"/>
    </xf>
    <xf numFmtId="0" fontId="12" fillId="0" borderId="27" applyFill="0">
      <alignment horizontal="center" vertical="top"/>
    </xf>
    <xf numFmtId="4" fontId="3" fillId="6" borderId="90">
      <alignment horizontal="right" vertical="center" wrapText="1"/>
    </xf>
    <xf numFmtId="49" fontId="13" fillId="0" borderId="27" quotePrefix="1" applyFill="0">
      <alignment horizontal="center" vertical="center" wrapText="1"/>
    </xf>
    <xf numFmtId="0" fontId="13" fillId="0" borderId="27" applyFill="0">
      <alignment horizontal="left" vertical="center" wrapText="1"/>
    </xf>
    <xf numFmtId="0" fontId="13" fillId="0" borderId="37" applyFill="0">
      <alignment horizontal="center" vertical="center" wrapText="1"/>
    </xf>
    <xf numFmtId="4" fontId="13" fillId="8" borderId="50">
      <alignment horizontal="right" vertical="center" wrapText="1"/>
    </xf>
    <xf numFmtId="4" fontId="13" fillId="8" borderId="89">
      <alignment horizontal="right" vertical="center" wrapText="1"/>
    </xf>
    <xf numFmtId="4" fontId="13" fillId="8" borderId="90">
      <alignment horizontal="right" vertical="center" wrapText="1"/>
    </xf>
    <xf numFmtId="49" fontId="13" fillId="4" borderId="20" quotePrefix="1">
      <alignment horizontal="center" vertical="center" wrapText="1"/>
    </xf>
    <xf numFmtId="0" fontId="3" fillId="4" borderId="18">
      <alignment vertical="center" wrapText="1"/>
    </xf>
    <xf numFmtId="0" fontId="13" fillId="4" borderId="43">
      <alignment horizontal="left" vertical="center" wrapText="1"/>
    </xf>
    <xf numFmtId="0" fontId="13" fillId="4" borderId="16">
      <alignment horizontal="center" vertical="center" wrapText="1"/>
    </xf>
    <xf numFmtId="4" fontId="13" fillId="4" borderId="50">
      <alignment horizontal="right" vertical="center" wrapText="1"/>
    </xf>
    <xf numFmtId="4" fontId="13" fillId="4" borderId="16">
      <alignment horizontal="right" vertical="center" wrapText="1"/>
    </xf>
    <xf numFmtId="4" fontId="13" fillId="4" borderId="89">
      <alignment horizontal="right" vertical="center" wrapText="1"/>
    </xf>
    <xf numFmtId="4" fontId="3" fillId="0" borderId="104" applyFill="0">
      <alignment vertical="center" wrapText="1"/>
    </xf>
    <xf numFmtId="4" fontId="3" fillId="0" borderId="95" applyFill="0">
      <alignment vertical="center" wrapText="1"/>
    </xf>
    <xf numFmtId="0" fontId="13" fillId="4" borderId="38">
      <alignment horizontal="center" vertical="center" wrapText="1"/>
    </xf>
    <xf numFmtId="0" fontId="3" fillId="4" borderId="0" applyBorder="0">
      <alignment vertical="center" wrapText="1"/>
    </xf>
    <xf numFmtId="0" fontId="13" fillId="4" borderId="0" applyBorder="0">
      <alignment vertical="center" wrapText="1"/>
    </xf>
    <xf numFmtId="0" fontId="3" fillId="4" borderId="104">
      <alignment horizontal="left" vertical="center" wrapText="1"/>
    </xf>
    <xf numFmtId="4" fontId="3" fillId="4" borderId="90">
      <alignment horizontal="right" vertical="center" wrapText="1"/>
    </xf>
    <xf numFmtId="4" fontId="3" fillId="4" borderId="20">
      <alignment horizontal="right" vertical="center" wrapText="1"/>
    </xf>
    <xf numFmtId="4" fontId="3" fillId="6" borderId="19">
      <alignment horizontal="right" vertical="center" wrapText="1"/>
      <protection locked="0"/>
    </xf>
    <xf numFmtId="49" fontId="28" fillId="0" borderId="27" applyFill="0">
      <alignment horizontal="left" vertical="center" wrapText="1"/>
    </xf>
    <xf numFmtId="10" fontId="3" fillId="8" borderId="90">
      <alignment horizontal="right" vertical="center" wrapText="1"/>
    </xf>
    <xf numFmtId="49" fontId="13" fillId="15" borderId="21">
      <alignment horizontal="center" vertical="center" wrapText="1"/>
    </xf>
    <xf numFmtId="0" fontId="13" fillId="15" borderId="21">
      <alignment horizontal="left" vertical="center" wrapText="1"/>
    </xf>
    <xf numFmtId="0" fontId="13" fillId="15" borderId="16">
      <alignment horizontal="center" vertical="center" wrapText="1"/>
    </xf>
    <xf numFmtId="49" fontId="13" fillId="6" borderId="4">
      <alignment horizontal="left" vertical="center" wrapText="1"/>
    </xf>
    <xf numFmtId="49" fontId="29" fillId="15" borderId="22">
      <alignment horizontal="center" vertical="center" wrapText="1"/>
    </xf>
    <xf numFmtId="0" fontId="29" fillId="15" borderId="22">
      <alignment horizontal="left" vertical="center" wrapText="1"/>
    </xf>
    <xf numFmtId="0" fontId="29" fillId="15" borderId="16">
      <alignment horizontal="center" vertical="center" wrapText="1"/>
    </xf>
    <xf numFmtId="4" fontId="13" fillId="4" borderId="19">
      <alignment horizontal="right" vertical="center" wrapText="1"/>
    </xf>
    <xf numFmtId="4" fontId="13" fillId="4" borderId="4">
      <alignment horizontal="right" vertical="center" wrapText="1"/>
    </xf>
    <xf numFmtId="0" fontId="29" fillId="15" borderId="21">
      <alignment horizontal="left" vertical="center" wrapText="1"/>
    </xf>
    <xf numFmtId="49" fontId="13" fillId="15" borderId="16">
      <alignment horizontal="center" vertical="center" wrapText="1"/>
    </xf>
    <xf numFmtId="0" fontId="29" fillId="15" borderId="16">
      <alignment horizontal="left" vertical="center" wrapText="1"/>
    </xf>
    <xf numFmtId="4" fontId="13" fillId="8" borderId="19">
      <alignment horizontal="right" vertical="center" wrapText="1"/>
    </xf>
    <xf numFmtId="4" fontId="13" fillId="8" borderId="37">
      <alignment horizontal="right" vertical="center" wrapText="1"/>
    </xf>
    <xf numFmtId="4" fontId="13" fillId="8" borderId="4">
      <alignment horizontal="right" vertical="center" wrapText="1"/>
    </xf>
    <xf numFmtId="0" fontId="2" fillId="0" borderId="16" applyFill="0">
      <alignment horizontal="left" vertical="center" wrapText="1"/>
    </xf>
    <xf numFmtId="0" fontId="14" fillId="0" borderId="10" applyFill="0">
      <alignment horizontal="center" vertical="center" wrapText="1"/>
    </xf>
    <xf numFmtId="49" fontId="3" fillId="3" borderId="16">
      <alignment horizontal="left" vertical="center" wrapText="1"/>
    </xf>
    <xf numFmtId="49" fontId="1" fillId="0" borderId="16" applyFill="0">
      <alignment horizontal="center" vertical="center" wrapText="1"/>
    </xf>
    <xf numFmtId="4" fontId="3" fillId="6" borderId="4">
      <alignment vertical="center" wrapText="1"/>
    </xf>
    <xf numFmtId="49" fontId="3" fillId="6" borderId="22">
      <alignment horizontal="left" vertical="center" wrapText="1"/>
    </xf>
    <xf numFmtId="0" fontId="30" fillId="0" borderId="39" applyFill="0">
      <alignment vertical="top"/>
    </xf>
    <xf numFmtId="49" fontId="3" fillId="3" borderId="16">
      <alignment horizontal="left" vertical="center" wrapText="1"/>
      <protection locked="0"/>
    </xf>
    <xf numFmtId="4" fontId="3" fillId="6" borderId="89">
      <alignment horizontal="right" vertical="center" wrapText="1"/>
      <protection locked="0"/>
    </xf>
    <xf numFmtId="49" fontId="2" fillId="11" borderId="19">
      <alignment horizontal="center" vertical="center" wrapText="1"/>
    </xf>
    <xf numFmtId="49" fontId="2" fillId="11" borderId="17">
      <alignment horizontal="center" vertical="center" wrapText="1"/>
    </xf>
    <xf numFmtId="4" fontId="3" fillId="11" borderId="94">
      <alignment horizontal="center" vertical="center" wrapText="1"/>
    </xf>
    <xf numFmtId="4" fontId="3" fillId="11" borderId="5">
      <alignment horizontal="center" vertical="center" wrapText="1"/>
    </xf>
    <xf numFmtId="4" fontId="3" fillId="11" borderId="5">
      <alignment horizontal="left" vertical="center" wrapText="1"/>
    </xf>
    <xf numFmtId="4" fontId="3" fillId="11" borderId="92">
      <alignment horizontal="center" vertical="center" wrapText="1"/>
    </xf>
    <xf numFmtId="4" fontId="3" fillId="11" borderId="93">
      <alignment horizontal="center" vertical="center" wrapText="1"/>
    </xf>
    <xf numFmtId="4" fontId="3" fillId="11" borderId="42">
      <alignment horizontal="center" vertical="center" wrapText="1"/>
    </xf>
    <xf numFmtId="4" fontId="3" fillId="11" borderId="66">
      <alignment horizontal="left" vertical="center" wrapText="1"/>
    </xf>
    <xf numFmtId="4" fontId="3" fillId="11" borderId="27">
      <alignment horizontal="left" vertical="center" wrapText="1"/>
    </xf>
    <xf numFmtId="4" fontId="3" fillId="11" borderId="25">
      <alignment horizontal="left" vertical="center" wrapText="1"/>
    </xf>
    <xf numFmtId="4" fontId="3" fillId="11" borderId="31">
      <alignment horizontal="left" vertical="center" wrapText="1"/>
    </xf>
    <xf numFmtId="4" fontId="3" fillId="11" borderId="26">
      <alignment horizontal="left" vertical="center" wrapText="1"/>
    </xf>
    <xf numFmtId="0" fontId="2" fillId="0" borderId="22" applyFill="0">
      <alignment horizontal="left" vertical="center" wrapText="1"/>
    </xf>
    <xf numFmtId="0" fontId="2" fillId="0" borderId="22" applyFill="0">
      <alignment horizontal="center" vertical="center" wrapText="1"/>
    </xf>
    <xf numFmtId="4" fontId="3" fillId="6" borderId="42">
      <alignment horizontal="right" vertical="center" wrapText="1"/>
      <protection locked="0"/>
    </xf>
    <xf numFmtId="4" fontId="3" fillId="6" borderId="35">
      <alignment horizontal="right" vertical="center" wrapText="1"/>
    </xf>
    <xf numFmtId="4" fontId="3" fillId="6" borderId="36">
      <alignment horizontal="right" vertical="center" wrapText="1"/>
    </xf>
    <xf numFmtId="49" fontId="2" fillId="0" borderId="4" applyFill="0">
      <alignment horizontal="center" vertical="center" wrapText="1"/>
    </xf>
    <xf numFmtId="0" fontId="2" fillId="0" borderId="4" applyFill="0">
      <alignment horizontal="left" vertical="center" wrapText="1"/>
    </xf>
    <xf numFmtId="0" fontId="2" fillId="0" borderId="4" applyFill="0">
      <alignment horizontal="center" vertical="center" wrapText="1"/>
    </xf>
    <xf numFmtId="0" fontId="3" fillId="0" borderId="4" applyFill="0">
      <alignment horizontal="right" vertical="center" wrapText="1"/>
    </xf>
    <xf numFmtId="49" fontId="29" fillId="15" borderId="16">
      <alignment horizontal="center" vertical="center" wrapText="1"/>
    </xf>
    <xf numFmtId="4" fontId="13" fillId="4" borderId="22">
      <alignment horizontal="right" vertical="center" wrapText="1"/>
    </xf>
    <xf numFmtId="0" fontId="29" fillId="0" borderId="16" applyFill="0">
      <alignment horizontal="left" vertical="center" wrapText="1"/>
    </xf>
    <xf numFmtId="0" fontId="29" fillId="0" borderId="16" applyFill="0">
      <alignment horizontal="center" vertical="center" wrapText="1"/>
    </xf>
    <xf numFmtId="4" fontId="13" fillId="8" borderId="102">
      <alignment horizontal="right" vertical="center" wrapText="1"/>
    </xf>
    <xf numFmtId="4" fontId="13" fillId="8" borderId="22">
      <alignment horizontal="right" vertical="center" wrapText="1"/>
    </xf>
    <xf numFmtId="4" fontId="13" fillId="6" borderId="22">
      <alignment horizontal="right" vertical="center" wrapText="1"/>
    </xf>
    <xf numFmtId="49" fontId="13" fillId="6" borderId="4">
      <alignment horizontal="left" vertical="center" wrapText="1"/>
      <protection locked="0"/>
    </xf>
    <xf numFmtId="0" fontId="13" fillId="6" borderId="27">
      <alignment vertical="center" wrapText="1"/>
    </xf>
    <xf numFmtId="0" fontId="2" fillId="0" borderId="19" applyFill="0">
      <alignment horizontal="center" vertical="center" wrapText="1"/>
    </xf>
    <xf numFmtId="4" fontId="3" fillId="8" borderId="28">
      <alignment horizontal="right" vertical="center" wrapText="1"/>
    </xf>
    <xf numFmtId="4" fontId="3" fillId="4" borderId="4">
      <alignment horizontal="right" vertical="center" wrapText="1"/>
    </xf>
    <xf numFmtId="4" fontId="3" fillId="6" borderId="107">
      <alignment horizontal="right" vertical="center" wrapText="1"/>
      <protection locked="0"/>
    </xf>
    <xf numFmtId="4" fontId="3" fillId="8" borderId="20">
      <alignment horizontal="right" vertical="center" wrapText="1"/>
    </xf>
    <xf numFmtId="4" fontId="3" fillId="6" borderId="88">
      <alignment horizontal="right" vertical="center" wrapText="1"/>
    </xf>
    <xf numFmtId="4" fontId="3" fillId="8" borderId="87">
      <alignment horizontal="right" vertical="center" wrapText="1"/>
    </xf>
    <xf numFmtId="49" fontId="3" fillId="0" borderId="28" applyFill="0">
      <alignment horizontal="center" vertical="center" wrapText="1"/>
    </xf>
    <xf numFmtId="0" fontId="2" fillId="0" borderId="28" applyFill="0">
      <alignment vertical="center" wrapText="1"/>
    </xf>
    <xf numFmtId="0" fontId="2" fillId="0" borderId="28" applyFill="0">
      <alignment horizontal="center" vertical="center" wrapText="1"/>
    </xf>
    <xf numFmtId="49" fontId="2" fillId="6" borderId="4">
      <alignment horizontal="left" vertical="center" wrapText="1"/>
      <protection locked="0"/>
    </xf>
    <xf numFmtId="49" fontId="2" fillId="6" borderId="4">
      <alignment horizontal="left" vertical="center" wrapText="1"/>
    </xf>
    <xf numFmtId="0" fontId="1" fillId="6" borderId="27">
      <alignment vertical="center" wrapText="1"/>
    </xf>
    <xf numFmtId="0" fontId="26" fillId="0" borderId="0" applyFill="0" applyBorder="0">
      <alignment vertical="center" wrapText="1"/>
    </xf>
    <xf numFmtId="0" fontId="26" fillId="0" borderId="0" applyFill="0" applyBorder="0">
      <alignment horizontal="left" vertical="center" wrapText="1"/>
    </xf>
    <xf numFmtId="0" fontId="2" fillId="10" borderId="16">
      <alignment horizontal="center" vertical="center" wrapText="1"/>
    </xf>
    <xf numFmtId="0" fontId="2" fillId="15" borderId="16">
      <alignment horizontal="center" vertical="center" wrapText="1"/>
    </xf>
    <xf numFmtId="0" fontId="2" fillId="10" borderId="19">
      <alignment horizontal="center" vertical="center" wrapText="1"/>
    </xf>
    <xf numFmtId="0" fontId="2" fillId="10" borderId="5">
      <alignment horizontal="center" vertical="center" wrapText="1"/>
    </xf>
    <xf numFmtId="0" fontId="2" fillId="10" borderId="37">
      <alignment horizontal="center" vertical="center" wrapText="1"/>
    </xf>
    <xf numFmtId="0" fontId="2" fillId="14" borderId="22">
      <alignment horizontal="center" vertical="center" wrapText="1"/>
    </xf>
    <xf numFmtId="0" fontId="2" fillId="0" borderId="47" applyFill="0">
      <alignment horizontal="center" vertical="center" wrapText="1"/>
    </xf>
    <xf numFmtId="0" fontId="2" fillId="14" borderId="47">
      <alignment horizontal="center" vertical="center" wrapText="1"/>
    </xf>
    <xf numFmtId="0" fontId="2" fillId="0" borderId="21" applyFill="0">
      <alignment horizontal="center" vertical="center" wrapText="1"/>
    </xf>
    <xf numFmtId="0" fontId="2" fillId="14" borderId="21">
      <alignment horizontal="center" vertical="center" wrapText="1"/>
    </xf>
    <xf numFmtId="4" fontId="2" fillId="6" borderId="16">
      <alignment horizontal="right" vertical="center" wrapText="1"/>
    </xf>
    <xf numFmtId="4" fontId="2" fillId="6" borderId="16">
      <alignment horizontal="right" vertical="center" wrapText="1"/>
      <protection locked="0"/>
    </xf>
    <xf numFmtId="4" fontId="2" fillId="8" borderId="16">
      <alignment horizontal="right" vertical="center" wrapText="1"/>
    </xf>
    <xf numFmtId="10" fontId="2" fillId="8" borderId="16">
      <alignment horizontal="right" vertical="center" wrapText="1"/>
    </xf>
    <xf numFmtId="4" fontId="2" fillId="6" borderId="37">
      <alignment horizontal="right" vertical="center" wrapText="1"/>
    </xf>
    <xf numFmtId="49" fontId="2" fillId="6" borderId="16">
      <alignment horizontal="left" vertical="center" wrapText="1"/>
      <protection locked="0"/>
    </xf>
    <xf numFmtId="49" fontId="2" fillId="6" borderId="16">
      <alignment horizontal="left" vertical="center" wrapText="1"/>
    </xf>
    <xf numFmtId="4" fontId="2" fillId="6" borderId="22">
      <alignment horizontal="right" vertical="center" wrapText="1"/>
    </xf>
    <xf numFmtId="4" fontId="2" fillId="6" borderId="22">
      <alignment horizontal="right" vertical="center" wrapText="1"/>
      <protection locked="0"/>
    </xf>
    <xf numFmtId="4" fontId="2" fillId="8" borderId="22">
      <alignment horizontal="right" vertical="center" wrapText="1"/>
    </xf>
    <xf numFmtId="10" fontId="2" fillId="8" borderId="22">
      <alignment horizontal="right" vertical="center" wrapText="1"/>
    </xf>
    <xf numFmtId="4" fontId="2" fillId="6" borderId="42">
      <alignment horizontal="right" vertical="center" wrapText="1"/>
    </xf>
    <xf numFmtId="4" fontId="2" fillId="6" borderId="21">
      <alignment horizontal="right" vertical="center" wrapText="1"/>
    </xf>
    <xf numFmtId="4" fontId="2" fillId="8" borderId="21">
      <alignment horizontal="right" vertical="center" wrapText="1"/>
    </xf>
    <xf numFmtId="10" fontId="2" fillId="8" borderId="21">
      <alignment horizontal="right" vertical="center" wrapText="1"/>
    </xf>
    <xf numFmtId="10" fontId="2" fillId="6" borderId="16">
      <alignment horizontal="right" vertical="center" wrapText="1"/>
    </xf>
    <xf numFmtId="16" fontId="3" fillId="0" borderId="16" applyFill="0">
      <alignment horizontal="center" vertical="center" wrapText="1"/>
    </xf>
    <xf numFmtId="0" fontId="2" fillId="14" borderId="16">
      <alignment horizontal="center" vertical="center" wrapText="1"/>
    </xf>
    <xf numFmtId="10" fontId="2" fillId="14" borderId="16">
      <alignment vertical="center" wrapText="1"/>
    </xf>
    <xf numFmtId="4" fontId="2" fillId="14" borderId="16">
      <alignment horizontal="right" vertical="center" wrapText="1"/>
    </xf>
    <xf numFmtId="173" fontId="2" fillId="8" borderId="22">
      <alignment horizontal="right" vertical="center" wrapText="1"/>
    </xf>
    <xf numFmtId="0" fontId="2" fillId="0" borderId="4" applyFill="0">
      <alignment horizontal="right" vertical="center" wrapText="1"/>
    </xf>
    <xf numFmtId="49" fontId="2" fillId="6" borderId="22">
      <alignment horizontal="left" vertical="center" wrapText="1"/>
    </xf>
    <xf numFmtId="49" fontId="2" fillId="14" borderId="16">
      <alignment horizontal="center" vertical="center" wrapText="1"/>
    </xf>
    <xf numFmtId="10" fontId="2" fillId="14" borderId="16">
      <alignment horizontal="center" vertical="center" wrapText="1"/>
    </xf>
    <xf numFmtId="0" fontId="29" fillId="4" borderId="16">
      <alignment horizontal="left" vertical="center" wrapText="1"/>
    </xf>
    <xf numFmtId="0" fontId="2" fillId="14" borderId="16">
      <alignment horizontal="right" vertical="center" wrapText="1"/>
    </xf>
    <xf numFmtId="4" fontId="2" fillId="14" borderId="16">
      <alignment horizontal="left" vertical="center" wrapText="1"/>
    </xf>
    <xf numFmtId="4" fontId="2" fillId="14" borderId="4">
      <alignment horizontal="left" vertical="center" wrapText="1"/>
    </xf>
    <xf numFmtId="10" fontId="13" fillId="14" borderId="16">
      <alignment horizontal="center" vertical="center" wrapText="1"/>
    </xf>
    <xf numFmtId="4" fontId="13" fillId="14" borderId="16">
      <alignment horizontal="right" vertical="center" wrapText="1"/>
    </xf>
    <xf numFmtId="49" fontId="29" fillId="6" borderId="16">
      <alignment horizontal="left" vertical="center" wrapText="1"/>
    </xf>
    <xf numFmtId="49" fontId="2" fillId="6" borderId="21">
      <alignment horizontal="left" vertical="center" wrapText="1"/>
    </xf>
    <xf numFmtId="4" fontId="29" fillId="8" borderId="16">
      <alignment horizontal="right" vertical="center" wrapText="1"/>
    </xf>
    <xf numFmtId="10" fontId="29" fillId="14" borderId="16">
      <alignment horizontal="center" vertical="center" wrapText="1"/>
    </xf>
    <xf numFmtId="4" fontId="29" fillId="14" borderId="16">
      <alignment horizontal="right" vertical="center" wrapText="1"/>
    </xf>
    <xf numFmtId="4" fontId="29" fillId="8" borderId="37">
      <alignment horizontal="right" vertical="center" wrapText="1"/>
    </xf>
    <xf numFmtId="49" fontId="29" fillId="6" borderId="16">
      <alignment horizontal="left" vertical="center" wrapText="1"/>
      <protection locked="0"/>
    </xf>
    <xf numFmtId="4" fontId="2" fillId="6" borderId="37">
      <alignment horizontal="right" vertical="center" wrapText="1"/>
      <protection locked="0"/>
    </xf>
    <xf numFmtId="0" fontId="2" fillId="0" borderId="16" applyFill="0">
      <alignment horizontal="right" vertical="center" wrapText="1"/>
    </xf>
    <xf numFmtId="4" fontId="2" fillId="6" borderId="4">
      <alignment horizontal="right" vertical="center" wrapText="1"/>
    </xf>
    <xf numFmtId="175" fontId="13" fillId="8" borderId="16">
      <alignment horizontal="right" vertical="center" wrapText="1"/>
    </xf>
    <xf numFmtId="10" fontId="13" fillId="8" borderId="16">
      <alignment horizontal="right" vertical="center" wrapText="1"/>
    </xf>
    <xf numFmtId="0" fontId="2" fillId="0" borderId="4" applyFill="0">
      <alignment vertical="center" wrapText="1"/>
    </xf>
    <xf numFmtId="49" fontId="19" fillId="6" borderId="16">
      <alignment horizontal="left" vertical="center" wrapText="1"/>
    </xf>
    <xf numFmtId="49" fontId="19" fillId="6" borderId="4">
      <alignment horizontal="left" vertical="center" wrapText="1"/>
    </xf>
    <xf numFmtId="49" fontId="19" fillId="6" borderId="16">
      <alignment horizontal="left" vertical="center" wrapText="1"/>
      <protection locked="0"/>
    </xf>
    <xf numFmtId="49" fontId="19" fillId="6" borderId="4">
      <alignment horizontal="left" vertical="center" wrapText="1"/>
      <protection locked="0"/>
    </xf>
    <xf numFmtId="0" fontId="2" fillId="0" borderId="0" applyFill="0" applyBorder="0">
      <alignment horizontal="right" wrapText="1"/>
    </xf>
    <xf numFmtId="0" fontId="16" fillId="0" borderId="0" applyFill="0" applyBorder="0">
      <alignment horizontal="left" vertical="center" wrapText="1"/>
    </xf>
    <xf numFmtId="0" fontId="29" fillId="6" borderId="0" applyBorder="0">
      <alignment horizontal="center" vertical="center" wrapText="1"/>
      <protection locked="0"/>
    </xf>
    <xf numFmtId="0" fontId="3" fillId="10" borderId="36">
      <alignment horizontal="left" vertical="center" wrapText="1"/>
    </xf>
    <xf numFmtId="0" fontId="3" fillId="10" borderId="4">
      <alignment horizontal="center" vertical="center" wrapText="1"/>
    </xf>
    <xf numFmtId="1" fontId="3" fillId="10" borderId="4">
      <alignment horizontal="center" vertical="center" wrapText="1"/>
    </xf>
    <xf numFmtId="1" fontId="3" fillId="0" borderId="4" applyFill="0">
      <alignment horizontal="center" vertical="center" wrapText="1"/>
    </xf>
    <xf numFmtId="0" fontId="3" fillId="10" borderId="28">
      <alignment horizontal="left" vertical="center" wrapText="1"/>
    </xf>
    <xf numFmtId="0" fontId="29" fillId="0" borderId="4" applyFill="0">
      <alignment vertical="center" wrapText="1"/>
    </xf>
    <xf numFmtId="0" fontId="29" fillId="0" borderId="1" applyFill="0">
      <alignment vertical="center"/>
    </xf>
    <xf numFmtId="0" fontId="29" fillId="0" borderId="2" applyFill="0">
      <alignment vertical="center" wrapText="1"/>
    </xf>
    <xf numFmtId="0" fontId="29" fillId="0" borderId="3" applyFill="0">
      <alignment vertical="center" wrapText="1"/>
    </xf>
    <xf numFmtId="0" fontId="2" fillId="10" borderId="4">
      <alignment horizontal="center" vertical="center" wrapText="1"/>
    </xf>
    <xf numFmtId="0" fontId="2" fillId="10" borderId="4">
      <alignment vertical="center" wrapText="1"/>
    </xf>
    <xf numFmtId="10" fontId="2" fillId="6" borderId="4">
      <alignment horizontal="right" vertical="center" wrapText="1"/>
      <protection locked="0"/>
    </xf>
    <xf numFmtId="10" fontId="2" fillId="8" borderId="4">
      <alignment horizontal="right" vertical="center" wrapText="1"/>
    </xf>
    <xf numFmtId="4" fontId="2" fillId="8" borderId="4">
      <alignment horizontal="right" vertical="center" wrapText="1"/>
    </xf>
    <xf numFmtId="172" fontId="2" fillId="8" borderId="4">
      <alignment horizontal="right" vertical="center" wrapText="1"/>
    </xf>
    <xf numFmtId="0" fontId="29" fillId="0" borderId="4" applyFill="0">
      <alignment horizontal="center" vertical="center" wrapText="1"/>
    </xf>
    <xf numFmtId="4" fontId="2" fillId="8" borderId="4">
      <alignment vertical="center" wrapText="1"/>
    </xf>
    <xf numFmtId="10" fontId="2" fillId="8" borderId="4">
      <alignment vertical="center" wrapText="1"/>
    </xf>
    <xf numFmtId="4" fontId="2" fillId="6" borderId="4">
      <alignment vertical="center" wrapText="1"/>
      <protection locked="0"/>
    </xf>
    <xf numFmtId="0" fontId="2" fillId="0" borderId="4" applyFill="0">
      <alignment horizontal="left" vertical="center" wrapText="1" indent="1"/>
    </xf>
    <xf numFmtId="4" fontId="29" fillId="8" borderId="4">
      <alignment vertical="center" wrapText="1"/>
    </xf>
    <xf numFmtId="10" fontId="29" fillId="8" borderId="4">
      <alignment vertical="center" wrapText="1"/>
    </xf>
    <xf numFmtId="0" fontId="29" fillId="0" borderId="1" applyFill="0">
      <alignment vertical="center" wrapText="1"/>
    </xf>
    <xf numFmtId="4" fontId="2" fillId="4" borderId="4">
      <alignment vertical="center" wrapText="1"/>
    </xf>
    <xf numFmtId="16" fontId="2" fillId="0" borderId="4" applyFill="0">
      <alignment horizontal="center" vertical="center" wrapText="1"/>
    </xf>
    <xf numFmtId="4" fontId="29" fillId="4" borderId="4">
      <alignment vertical="center" wrapText="1"/>
    </xf>
    <xf numFmtId="0" fontId="29" fillId="0" borderId="4" applyFill="0">
      <alignment horizontal="left" vertical="center" wrapText="1"/>
    </xf>
    <xf numFmtId="0" fontId="29" fillId="0" borderId="4" applyFill="0">
      <alignment horizontal="center" vertical="center"/>
    </xf>
    <xf numFmtId="0" fontId="29" fillId="0" borderId="2" applyFill="0">
      <alignment vertical="center"/>
    </xf>
    <xf numFmtId="0" fontId="29" fillId="0" borderId="3" applyFill="0">
      <alignment vertical="center"/>
    </xf>
    <xf numFmtId="4" fontId="29" fillId="6" borderId="4">
      <alignment horizontal="right" vertical="center" wrapText="1"/>
      <protection locked="0"/>
    </xf>
    <xf numFmtId="4" fontId="29" fillId="8" borderId="4">
      <alignment horizontal="right" vertical="center" wrapText="1"/>
    </xf>
    <xf numFmtId="10" fontId="29" fillId="8" borderId="4">
      <alignment horizontal="right" vertical="center" wrapText="1"/>
    </xf>
    <xf numFmtId="49" fontId="3" fillId="6" borderId="41">
      <alignment horizontal="center" vertical="center" wrapText="1"/>
      <protection locked="0"/>
    </xf>
    <xf numFmtId="0" fontId="3" fillId="0" borderId="108" applyFill="0">
      <alignment horizontal="center" vertical="center" wrapText="1"/>
    </xf>
    <xf numFmtId="0" fontId="13" fillId="6" borderId="0" applyBorder="0">
      <alignment horizontal="center" vertical="center" wrapText="1"/>
      <protection locked="0"/>
    </xf>
    <xf numFmtId="49" fontId="3" fillId="0" borderId="41" applyFill="0">
      <alignment horizontal="center" vertical="center" wrapText="1"/>
    </xf>
    <xf numFmtId="49" fontId="3" fillId="0" borderId="1" applyFill="0">
      <alignment horizontal="center" vertical="center" wrapText="1"/>
    </xf>
    <xf numFmtId="49" fontId="3" fillId="0" borderId="4" applyFill="0">
      <alignment vertical="center" wrapText="1"/>
    </xf>
    <xf numFmtId="4" fontId="3" fillId="6" borderId="4">
      <alignment vertical="center" wrapText="1"/>
      <protection locked="0"/>
    </xf>
    <xf numFmtId="2" fontId="3" fillId="8" borderId="4">
      <alignment vertical="center" wrapText="1"/>
    </xf>
    <xf numFmtId="172" fontId="3" fillId="8" borderId="4">
      <alignment vertical="center" wrapText="1"/>
    </xf>
    <xf numFmtId="2" fontId="3" fillId="8" borderId="4">
      <alignment horizontal="right" vertical="center" wrapText="1"/>
    </xf>
    <xf numFmtId="9" fontId="3" fillId="8" borderId="4">
      <alignment horizontal="center" vertical="center" wrapText="1"/>
    </xf>
    <xf numFmtId="49" fontId="3" fillId="6" borderId="0" applyBorder="0">
      <alignment horizontal="left" vertical="center" wrapText="1"/>
      <protection locked="0"/>
    </xf>
    <xf numFmtId="172" fontId="3" fillId="8" borderId="4">
      <alignment horizontal="center" vertical="center" wrapText="1"/>
    </xf>
    <xf numFmtId="49" fontId="26" fillId="0" borderId="0" applyFill="0" applyBorder="0">
      <alignment vertical="center" wrapText="1"/>
    </xf>
    <xf numFmtId="49" fontId="2" fillId="0" borderId="0" applyFill="0" applyBorder="0">
      <alignment vertical="center" wrapText="1"/>
    </xf>
    <xf numFmtId="4" fontId="3" fillId="8" borderId="4">
      <alignment horizontal="center" vertical="center" wrapText="1"/>
    </xf>
    <xf numFmtId="4" fontId="3" fillId="6" borderId="4">
      <alignment horizontal="center" vertical="center" wrapText="1"/>
      <protection locked="0"/>
    </xf>
    <xf numFmtId="0" fontId="3" fillId="6" borderId="0" applyBorder="0">
      <alignment vertical="center" wrapText="1"/>
      <protection locked="0"/>
    </xf>
    <xf numFmtId="49" fontId="3" fillId="0" borderId="0" applyFill="0" applyBorder="0">
      <alignment horizontal="center" vertical="center" wrapText="1"/>
    </xf>
    <xf numFmtId="176" fontId="3" fillId="6" borderId="4">
      <alignment horizontal="center" vertical="center" wrapText="1"/>
      <protection locked="0"/>
    </xf>
    <xf numFmtId="10" fontId="3" fillId="6" borderId="4">
      <alignment horizontal="center" vertical="center" wrapText="1"/>
      <protection locked="0"/>
    </xf>
    <xf numFmtId="10" fontId="3" fillId="8" borderId="4">
      <alignment horizontal="center" vertical="center" wrapText="1"/>
    </xf>
    <xf numFmtId="172" fontId="3" fillId="8" borderId="0" applyBorder="0">
      <alignment horizontal="center" vertical="center" wrapText="1"/>
    </xf>
    <xf numFmtId="49" fontId="2" fillId="0" borderId="4" applyFill="0">
      <alignment horizontal="left" vertical="center" wrapText="1"/>
    </xf>
    <xf numFmtId="49" fontId="2" fillId="6" borderId="4">
      <alignment vertical="center" wrapText="1"/>
      <protection locked="0"/>
    </xf>
    <xf numFmtId="2" fontId="2" fillId="8" borderId="4">
      <alignment vertical="center" wrapText="1"/>
    </xf>
    <xf numFmtId="0" fontId="2" fillId="6" borderId="4">
      <alignment vertical="center" wrapText="1"/>
      <protection locked="0"/>
    </xf>
    <xf numFmtId="4" fontId="2" fillId="6" borderId="4">
      <alignment horizontal="center" vertical="center" wrapText="1"/>
      <protection locked="0"/>
    </xf>
    <xf numFmtId="49" fontId="3" fillId="6" borderId="4">
      <alignment vertical="center" wrapText="1"/>
      <protection locked="0"/>
    </xf>
    <xf numFmtId="49" fontId="13" fillId="0" borderId="36" applyFill="0">
      <alignment horizontal="center" vertical="center" wrapText="1"/>
    </xf>
    <xf numFmtId="49" fontId="13" fillId="0" borderId="36" applyFill="0">
      <alignment vertical="center" wrapText="1"/>
    </xf>
    <xf numFmtId="4" fontId="13" fillId="8" borderId="36">
      <alignment vertical="center" wrapText="1"/>
    </xf>
    <xf numFmtId="4" fontId="29" fillId="8" borderId="36">
      <alignment vertical="center" wrapText="1"/>
    </xf>
    <xf numFmtId="49" fontId="13" fillId="6" borderId="36">
      <alignment vertical="center" wrapText="1"/>
      <protection locked="0"/>
    </xf>
    <xf numFmtId="4" fontId="2" fillId="6" borderId="1">
      <alignment vertical="center" wrapText="1"/>
      <protection locked="0"/>
    </xf>
    <xf numFmtId="4" fontId="2" fillId="8" borderId="1">
      <alignment vertical="center" wrapText="1"/>
    </xf>
    <xf numFmtId="9" fontId="2" fillId="8" borderId="4">
      <alignment vertical="center" wrapText="1"/>
    </xf>
    <xf numFmtId="9" fontId="2" fillId="8" borderId="1">
      <alignment vertical="center" wrapText="1"/>
    </xf>
    <xf numFmtId="4" fontId="13" fillId="8" borderId="11">
      <alignment vertical="center" wrapText="1"/>
    </xf>
    <xf numFmtId="2" fontId="13" fillId="8" borderId="36">
      <alignment vertical="center" wrapText="1"/>
    </xf>
    <xf numFmtId="49" fontId="29" fillId="0" borderId="4" applyFill="0">
      <alignment horizontal="center" vertical="center" wrapText="1"/>
    </xf>
    <xf numFmtId="49" fontId="29" fillId="0" borderId="4" applyFill="0">
      <alignment vertical="center" wrapText="1"/>
    </xf>
    <xf numFmtId="4" fontId="29" fillId="6" borderId="4">
      <alignment vertical="center" wrapText="1"/>
      <protection locked="0"/>
    </xf>
    <xf numFmtId="2" fontId="29" fillId="8" borderId="4">
      <alignment vertical="center" wrapText="1"/>
    </xf>
    <xf numFmtId="49" fontId="29" fillId="6" borderId="4">
      <alignment vertical="center" wrapText="1"/>
      <protection locked="0"/>
    </xf>
    <xf numFmtId="49" fontId="25" fillId="6" borderId="4">
      <alignment vertical="center" wrapText="1"/>
      <protection locked="0"/>
    </xf>
    <xf numFmtId="49" fontId="13" fillId="0" borderId="4" applyFill="0">
      <alignment horizontal="center" vertical="center" wrapText="1"/>
    </xf>
    <xf numFmtId="49" fontId="13" fillId="0" borderId="4" applyFill="0">
      <alignment vertical="center" wrapText="1"/>
    </xf>
    <xf numFmtId="4" fontId="13" fillId="8" borderId="4">
      <alignment vertical="center" wrapText="1"/>
    </xf>
    <xf numFmtId="49" fontId="13" fillId="6" borderId="4">
      <alignment vertical="center" wrapText="1"/>
      <protection locked="0"/>
    </xf>
    <xf numFmtId="10" fontId="3" fillId="6" borderId="4">
      <alignment vertical="center" wrapText="1"/>
      <protection locked="0"/>
    </xf>
    <xf numFmtId="10" fontId="13" fillId="6" borderId="4">
      <alignment vertical="center" wrapText="1"/>
      <protection locked="0"/>
    </xf>
    <xf numFmtId="10" fontId="2" fillId="6" borderId="4">
      <alignment vertical="center" wrapText="1"/>
      <protection locked="0"/>
    </xf>
    <xf numFmtId="4" fontId="13" fillId="6" borderId="4">
      <alignment vertical="center" wrapText="1"/>
      <protection locked="0"/>
    </xf>
    <xf numFmtId="49" fontId="2" fillId="0" borderId="4" applyFill="0">
      <alignment horizontal="right" vertical="center" wrapText="1"/>
    </xf>
    <xf numFmtId="10" fontId="2" fillId="6" borderId="0" applyBorder="0">
      <alignment vertical="center" wrapText="1"/>
      <protection locked="0"/>
    </xf>
    <xf numFmtId="9" fontId="13" fillId="8" borderId="109">
      <alignment horizontal="center" vertical="center" wrapText="1"/>
    </xf>
    <xf numFmtId="0" fontId="29" fillId="0" borderId="0" applyFill="0" applyBorder="0">
      <alignment vertical="center" wrapText="1"/>
    </xf>
    <xf numFmtId="0" fontId="29" fillId="0" borderId="15" applyFill="0">
      <alignment horizontal="left" vertical="center" wrapText="1"/>
    </xf>
    <xf numFmtId="0" fontId="29" fillId="0" borderId="1" applyFill="0">
      <alignment horizontal="center" vertical="center" wrapText="1"/>
    </xf>
    <xf numFmtId="0" fontId="29" fillId="0" borderId="2" applyFill="0">
      <alignment horizontal="center" vertical="center" wrapText="1"/>
    </xf>
    <xf numFmtId="0" fontId="29" fillId="0" borderId="36" applyFill="0">
      <alignment horizontal="center" vertical="center" wrapText="1"/>
    </xf>
    <xf numFmtId="0" fontId="29" fillId="0" borderId="28" applyFill="0">
      <alignment horizontal="center" vertical="center" wrapText="1"/>
    </xf>
    <xf numFmtId="49" fontId="2" fillId="6" borderId="36">
      <alignment vertical="center" wrapText="1"/>
      <protection locked="0"/>
    </xf>
    <xf numFmtId="49" fontId="13" fillId="6" borderId="4">
      <alignment horizontal="center" vertical="center" wrapText="1"/>
      <protection locked="0"/>
    </xf>
    <xf numFmtId="49" fontId="29" fillId="6" borderId="4">
      <alignment horizontal="center" vertical="center" wrapText="1"/>
      <protection locked="0"/>
    </xf>
    <xf numFmtId="0" fontId="29" fillId="0" borderId="0" applyFill="0" applyBorder="0">
      <alignment horizontal="left" vertical="center" wrapText="1"/>
    </xf>
    <xf numFmtId="0" fontId="1" fillId="0" borderId="0" applyFill="0" applyBorder="0">
      <alignment horizontal="left" vertical="center" wrapText="1"/>
    </xf>
    <xf numFmtId="0" fontId="16" fillId="0" borderId="4" applyFill="0">
      <alignment horizontal="center" vertical="center" wrapText="1"/>
    </xf>
    <xf numFmtId="49" fontId="2" fillId="6" borderId="4">
      <alignment horizontal="center" vertical="center" wrapText="1"/>
      <protection locked="0"/>
    </xf>
    <xf numFmtId="9" fontId="2" fillId="6" borderId="4">
      <alignment horizontal="center" vertical="center" wrapText="1"/>
      <protection locked="0"/>
    </xf>
    <xf numFmtId="10" fontId="2" fillId="6" borderId="4">
      <alignment horizontal="center" vertical="center" wrapText="1"/>
      <protection locked="0"/>
    </xf>
    <xf numFmtId="4" fontId="29" fillId="6" borderId="4">
      <alignment horizontal="center" vertical="center" wrapText="1"/>
      <protection locked="0"/>
    </xf>
    <xf numFmtId="173" fontId="2" fillId="6" borderId="4">
      <alignment vertical="center" wrapText="1"/>
      <protection locked="0"/>
    </xf>
    <xf numFmtId="0" fontId="2" fillId="6" borderId="0" quotePrefix="1" applyBorder="0">
      <alignment horizontal="center" vertical="center" wrapText="1"/>
      <protection locked="0"/>
    </xf>
    <xf numFmtId="0" fontId="3" fillId="6" borderId="4">
      <alignment vertical="center" wrapText="1"/>
      <protection locked="0"/>
    </xf>
    <xf numFmtId="177" fontId="31" fillId="6" borderId="4">
      <alignment horizontal="center" vertical="center" wrapText="1"/>
      <protection locked="0"/>
    </xf>
    <xf numFmtId="0" fontId="32" fillId="0" borderId="0" applyFill="0" applyBorder="0">
      <alignment horizontal="center" vertical="center" wrapText="1"/>
    </xf>
    <xf numFmtId="0" fontId="32" fillId="0" borderId="0" applyFill="0" applyBorder="0">
      <alignment horizontal="center" wrapText="1"/>
    </xf>
    <xf numFmtId="0" fontId="32" fillId="0" borderId="0" applyFill="0" applyBorder="0">
      <alignment horizontal="left" wrapText="1"/>
    </xf>
    <xf numFmtId="0" fontId="31" fillId="0" borderId="0" applyFill="0" applyBorder="0">
      <alignment horizontal="left" wrapText="1"/>
    </xf>
    <xf numFmtId="49" fontId="31" fillId="6" borderId="0" applyBorder="0">
      <alignment horizontal="left" vertical="center" wrapText="1"/>
      <protection locked="0"/>
    </xf>
    <xf numFmtId="0" fontId="31" fillId="6" borderId="0" applyBorder="0">
      <alignment horizontal="left" vertical="center" wrapText="1"/>
      <protection locked="0"/>
    </xf>
    <xf numFmtId="0" fontId="31" fillId="0" borderId="0" applyFill="0" applyBorder="0">
      <alignment horizontal="center" wrapText="1"/>
    </xf>
    <xf numFmtId="178" fontId="31" fillId="6" borderId="16">
      <alignment horizontal="center" vertical="center" wrapText="1"/>
      <protection locked="0"/>
    </xf>
    <xf numFmtId="49" fontId="31" fillId="6" borderId="16">
      <alignment horizontal="center" vertical="center" wrapText="1"/>
      <protection locked="0"/>
    </xf>
    <xf numFmtId="178" fontId="31" fillId="6" borderId="22">
      <alignment horizontal="center" vertical="center" wrapText="1"/>
      <protection locked="0"/>
    </xf>
    <xf numFmtId="0" fontId="31" fillId="6" borderId="19">
      <alignment horizontal="left" vertical="center" wrapText="1"/>
      <protection locked="0"/>
    </xf>
    <xf numFmtId="0" fontId="31" fillId="6" borderId="0" applyBorder="0">
      <alignment vertical="center" wrapText="1"/>
      <protection locked="0"/>
    </xf>
    <xf numFmtId="0" fontId="31" fillId="0" borderId="0" applyFill="0" applyBorder="0">
      <alignment vertical="center" wrapText="1"/>
    </xf>
    <xf numFmtId="170" fontId="31" fillId="6" borderId="1">
      <alignment horizontal="center" vertical="center" wrapText="1"/>
      <protection locked="0"/>
    </xf>
    <xf numFmtId="170" fontId="31" fillId="6" borderId="3">
      <alignment horizontal="center" vertical="center" wrapText="1"/>
      <protection locked="0"/>
    </xf>
    <xf numFmtId="0" fontId="31" fillId="6" borderId="1">
      <alignment horizontal="center" vertical="center" wrapText="1"/>
      <protection locked="0"/>
    </xf>
    <xf numFmtId="0" fontId="31" fillId="6" borderId="0" applyBorder="0">
      <alignment horizontal="left" vertical="center"/>
      <protection locked="0"/>
    </xf>
    <xf numFmtId="0" fontId="31" fillId="0" borderId="0" applyFill="0" applyBorder="0">
      <alignment horizontal="left" vertical="center" wrapText="1"/>
    </xf>
    <xf numFmtId="0" fontId="31" fillId="0" borderId="0" applyFill="0" applyBorder="0">
      <alignment horizontal="left" vertical="center"/>
    </xf>
    <xf numFmtId="0" fontId="31" fillId="6" borderId="0" applyBorder="0">
      <alignment horizontal="center" vertical="center" wrapText="1"/>
      <protection locked="0"/>
    </xf>
    <xf numFmtId="0" fontId="31" fillId="0" borderId="4" applyFill="0">
      <alignment horizontal="left" vertical="center" wrapText="1"/>
    </xf>
    <xf numFmtId="0" fontId="31" fillId="0" borderId="4" applyFill="0">
      <alignment horizontal="center" vertical="center" wrapText="1"/>
    </xf>
    <xf numFmtId="49" fontId="31" fillId="0" borderId="4" applyFill="0">
      <alignment horizontal="center" vertical="center" wrapText="1"/>
    </xf>
    <xf numFmtId="4" fontId="31" fillId="0" borderId="4" applyFill="0">
      <alignment horizontal="left" vertical="center" wrapText="1"/>
    </xf>
    <xf numFmtId="49" fontId="32" fillId="0" borderId="4" applyFill="0">
      <alignment horizontal="center" vertical="center" wrapText="1"/>
    </xf>
    <xf numFmtId="0" fontId="32" fillId="0" borderId="4" applyFill="0">
      <alignment horizontal="left" vertical="center" wrapText="1"/>
    </xf>
    <xf numFmtId="4" fontId="31" fillId="6" borderId="4">
      <alignment horizontal="right" vertical="center" wrapText="1"/>
      <protection locked="0"/>
    </xf>
    <xf numFmtId="4" fontId="32" fillId="8" borderId="4">
      <alignment horizontal="right" vertical="center" wrapText="1"/>
    </xf>
    <xf numFmtId="4" fontId="31" fillId="8" borderId="4">
      <alignment horizontal="right" vertical="center" wrapText="1"/>
    </xf>
    <xf numFmtId="9" fontId="32" fillId="8" borderId="4">
      <alignment horizontal="right" vertical="center" wrapText="1"/>
    </xf>
    <xf numFmtId="10" fontId="32" fillId="8" borderId="4">
      <alignment horizontal="right" vertical="center" wrapText="1"/>
    </xf>
    <xf numFmtId="4" fontId="31" fillId="6" borderId="0" applyBorder="0">
      <alignment vertical="center" wrapText="1"/>
      <protection locked="0"/>
    </xf>
    <xf numFmtId="49" fontId="31" fillId="0" borderId="0" applyFill="0" applyBorder="0">
      <alignment horizontal="left" vertical="center" wrapText="1"/>
    </xf>
    <xf numFmtId="0" fontId="31" fillId="0" borderId="46" applyFill="0">
      <alignment horizontal="left" vertical="center" wrapText="1"/>
    </xf>
    <xf numFmtId="4" fontId="31" fillId="8" borderId="16">
      <alignment horizontal="right" vertical="center" wrapText="1"/>
    </xf>
    <xf numFmtId="10" fontId="32" fillId="10" borderId="16">
      <alignment horizontal="right" vertical="center" wrapText="1"/>
    </xf>
    <xf numFmtId="0" fontId="31" fillId="6" borderId="0" applyBorder="0">
      <alignment horizontal="left" wrapText="1"/>
      <protection locked="0"/>
    </xf>
    <xf numFmtId="0" fontId="31" fillId="0" borderId="0" applyFill="0" applyBorder="0">
      <alignment horizontal="center" vertical="center" wrapText="1"/>
    </xf>
    <xf numFmtId="10" fontId="31" fillId="8" borderId="16">
      <alignment horizontal="right" vertical="center" wrapText="1"/>
    </xf>
    <xf numFmtId="0" fontId="31" fillId="0" borderId="38" applyFill="0">
      <alignment horizontal="center" wrapText="1"/>
    </xf>
    <xf numFmtId="0" fontId="32" fillId="0" borderId="0" applyFill="0" applyBorder="0">
      <alignment horizontal="left" vertical="center" wrapText="1"/>
    </xf>
    <xf numFmtId="2" fontId="31" fillId="8" borderId="16">
      <alignment horizontal="right" vertical="center" wrapText="1"/>
    </xf>
    <xf numFmtId="49" fontId="31" fillId="6" borderId="19">
      <alignment horizontal="center" vertical="center" wrapText="1"/>
      <protection locked="0"/>
    </xf>
    <xf numFmtId="49" fontId="31" fillId="6" borderId="5">
      <alignment horizontal="center" vertical="center" wrapText="1"/>
      <protection locked="0"/>
    </xf>
    <xf numFmtId="49" fontId="31" fillId="6" borderId="37">
      <alignment horizontal="center" vertical="center" wrapText="1"/>
      <protection locked="0"/>
    </xf>
    <xf numFmtId="0" fontId="32" fillId="6" borderId="0" applyBorder="0">
      <alignment horizontal="left" vertical="center" wrapText="1"/>
      <protection locked="0"/>
    </xf>
    <xf numFmtId="0" fontId="32" fillId="0" borderId="16" applyFill="0">
      <alignment horizontal="center" vertical="center" wrapText="1"/>
    </xf>
    <xf numFmtId="0" fontId="32" fillId="0" borderId="19" applyFill="0">
      <alignment horizontal="center" vertical="center" wrapText="1"/>
    </xf>
    <xf numFmtId="0" fontId="32" fillId="0" borderId="37" applyFill="0">
      <alignment horizontal="center" vertical="center" wrapText="1"/>
    </xf>
    <xf numFmtId="0" fontId="31" fillId="0" borderId="16" applyFill="0">
      <alignment horizontal="center" vertical="center" wrapText="1"/>
    </xf>
    <xf numFmtId="0" fontId="31" fillId="6" borderId="16">
      <alignment horizontal="left" vertical="center" wrapText="1"/>
      <protection locked="0"/>
    </xf>
    <xf numFmtId="49" fontId="31" fillId="6" borderId="16">
      <alignment horizontal="left" vertical="center" wrapText="1"/>
      <protection locked="0"/>
    </xf>
    <xf numFmtId="49" fontId="31" fillId="0" borderId="16" applyFill="0">
      <alignment horizontal="center" vertical="center" wrapText="1"/>
    </xf>
    <xf numFmtId="0" fontId="33" fillId="6" borderId="16">
      <alignment horizontal="left" vertical="center" wrapText="1"/>
      <protection locked="0"/>
    </xf>
    <xf numFmtId="4" fontId="31" fillId="6" borderId="16">
      <alignment horizontal="left" vertical="center" wrapText="1"/>
      <protection locked="0"/>
    </xf>
    <xf numFmtId="4" fontId="31" fillId="6" borderId="19">
      <alignment horizontal="center" vertical="center" wrapText="1"/>
      <protection locked="0"/>
    </xf>
    <xf numFmtId="4" fontId="31" fillId="6" borderId="5">
      <alignment horizontal="center" vertical="center" wrapText="1"/>
      <protection locked="0"/>
    </xf>
    <xf numFmtId="4" fontId="31" fillId="6" borderId="37">
      <alignment horizontal="center" vertical="center" wrapText="1"/>
      <protection locked="0"/>
    </xf>
    <xf numFmtId="49" fontId="31" fillId="0" borderId="35" applyFill="0">
      <alignment horizontal="center" vertical="center" wrapText="1"/>
    </xf>
    <xf numFmtId="49" fontId="31" fillId="0" borderId="110" applyFill="0">
      <alignment horizontal="center" vertical="center" wrapText="1"/>
    </xf>
    <xf numFmtId="49" fontId="31" fillId="0" borderId="111" applyFill="0">
      <alignment horizontal="center" vertical="center" wrapText="1"/>
    </xf>
    <xf numFmtId="49" fontId="31" fillId="0" borderId="42" applyFill="0">
      <alignment horizontal="center" vertical="center" wrapText="1"/>
    </xf>
    <xf numFmtId="49" fontId="31" fillId="0" borderId="22" applyFill="0">
      <alignment horizontal="center" vertical="center" wrapText="1"/>
    </xf>
    <xf numFmtId="49" fontId="31" fillId="13" borderId="19">
      <alignment horizontal="center" vertical="center" wrapText="1"/>
    </xf>
    <xf numFmtId="49" fontId="31" fillId="13" borderId="35">
      <alignment horizontal="left" vertical="center" wrapText="1"/>
    </xf>
    <xf numFmtId="49" fontId="31" fillId="13" borderId="17">
      <alignment horizontal="left" vertical="center" wrapText="1"/>
    </xf>
    <xf numFmtId="49" fontId="31" fillId="13" borderId="5">
      <alignment horizontal="left" vertical="center" wrapText="1"/>
    </xf>
    <xf numFmtId="49" fontId="31" fillId="13" borderId="37">
      <alignment horizontal="left" vertical="center" wrapText="1"/>
    </xf>
    <xf numFmtId="49" fontId="31" fillId="13" borderId="5">
      <alignment horizontal="center" vertical="center" wrapText="1"/>
    </xf>
    <xf numFmtId="49" fontId="31" fillId="13" borderId="37">
      <alignment horizontal="center" vertical="center" wrapText="1"/>
    </xf>
    <xf numFmtId="49" fontId="31" fillId="0" borderId="19" applyFill="0">
      <alignment horizontal="center" vertical="center" wrapText="1"/>
    </xf>
    <xf numFmtId="4" fontId="31" fillId="6" borderId="37">
      <alignment horizontal="right" vertical="center" wrapText="1"/>
      <protection locked="0"/>
    </xf>
    <xf numFmtId="49" fontId="31" fillId="6" borderId="19">
      <alignment horizontal="left" vertical="center" wrapText="1"/>
      <protection locked="0"/>
    </xf>
    <xf numFmtId="49" fontId="31" fillId="6" borderId="5">
      <alignment horizontal="left" vertical="center" wrapText="1"/>
      <protection locked="0"/>
    </xf>
    <xf numFmtId="49" fontId="31" fillId="6" borderId="37">
      <alignment horizontal="left" vertical="center" wrapText="1"/>
      <protection locked="0"/>
    </xf>
    <xf numFmtId="0" fontId="31" fillId="0" borderId="17" applyFill="0">
      <alignment horizontal="left" vertical="center" wrapText="1"/>
    </xf>
    <xf numFmtId="0" fontId="31" fillId="0" borderId="35" applyFill="0">
      <alignment horizontal="center" vertical="center" wrapText="1"/>
    </xf>
    <xf numFmtId="0" fontId="31" fillId="0" borderId="17" applyFill="0">
      <alignment horizontal="center" vertical="center" wrapText="1"/>
    </xf>
    <xf numFmtId="0" fontId="31" fillId="0" borderId="42" applyFill="0">
      <alignment horizontal="center" vertical="center" wrapText="1"/>
    </xf>
    <xf numFmtId="0" fontId="31" fillId="0" borderId="22" applyFill="0">
      <alignment horizontal="center" vertical="center" wrapText="1"/>
    </xf>
    <xf numFmtId="168" fontId="31" fillId="0" borderId="16" applyFill="0">
      <alignment horizontal="center" vertical="center" wrapText="1"/>
    </xf>
    <xf numFmtId="0" fontId="31" fillId="0" borderId="20" applyFill="0">
      <alignment horizontal="center" vertical="center" wrapText="1"/>
    </xf>
    <xf numFmtId="0" fontId="31" fillId="0" borderId="18" applyFill="0">
      <alignment horizontal="center" vertical="center" wrapText="1"/>
    </xf>
    <xf numFmtId="0" fontId="31" fillId="0" borderId="43" applyFill="0">
      <alignment horizontal="center" vertical="center" wrapText="1"/>
    </xf>
    <xf numFmtId="0" fontId="31" fillId="0" borderId="21" applyFill="0">
      <alignment horizontal="center" vertical="center" wrapText="1"/>
    </xf>
    <xf numFmtId="49" fontId="31" fillId="0" borderId="16" applyFill="0">
      <alignment horizontal="left" vertical="center" wrapText="1"/>
    </xf>
    <xf numFmtId="4" fontId="31" fillId="6" borderId="16">
      <alignment vertical="center" wrapText="1"/>
      <protection locked="0"/>
    </xf>
    <xf numFmtId="0" fontId="34" fillId="0" borderId="0" applyFill="0" applyBorder="0">
      <alignment horizontal="left" vertical="center" wrapText="1"/>
    </xf>
    <xf numFmtId="0" fontId="35" fillId="0" borderId="0" applyFill="0" applyBorder="0">
      <alignment horizontal="left" vertical="center" wrapText="1"/>
    </xf>
    <xf numFmtId="49" fontId="31" fillId="0" borderId="5" applyFill="0">
      <alignment horizontal="center" vertical="center" wrapText="1"/>
    </xf>
    <xf numFmtId="49" fontId="31" fillId="0" borderId="37" applyFill="0">
      <alignment horizontal="center" vertical="center" wrapText="1"/>
    </xf>
    <xf numFmtId="0" fontId="31" fillId="0" borderId="16" applyFill="0">
      <alignment horizontal="left" vertical="center" wrapText="1"/>
    </xf>
    <xf numFmtId="4" fontId="31" fillId="6" borderId="19">
      <alignment horizontal="right" vertical="center" wrapText="1"/>
      <protection locked="0"/>
    </xf>
    <xf numFmtId="49" fontId="31" fillId="6" borderId="16">
      <alignment vertical="center" wrapText="1"/>
      <protection locked="0"/>
    </xf>
    <xf numFmtId="3" fontId="31" fillId="6" borderId="37">
      <alignment horizontal="right" vertical="center" wrapText="1"/>
      <protection locked="0"/>
    </xf>
    <xf numFmtId="0" fontId="31" fillId="0" borderId="38" applyFill="0">
      <alignment horizontal="center" vertical="center" wrapText="1"/>
    </xf>
    <xf numFmtId="0" fontId="31" fillId="0" borderId="112" applyFill="0">
      <alignment horizontal="center" vertical="center" wrapText="1"/>
    </xf>
    <xf numFmtId="0" fontId="31" fillId="0" borderId="113" applyFill="0">
      <alignment horizontal="center" vertical="center" wrapText="1"/>
    </xf>
    <xf numFmtId="0" fontId="31" fillId="0" borderId="114" applyFill="0">
      <alignment horizontal="center" vertical="center" wrapText="1"/>
    </xf>
    <xf numFmtId="0" fontId="31" fillId="0" borderId="37" applyFill="0">
      <alignment horizontal="center" vertical="center" wrapText="1"/>
    </xf>
    <xf numFmtId="0" fontId="31" fillId="0" borderId="19" applyFill="0">
      <alignment horizontal="center" vertical="center" wrapText="1"/>
    </xf>
    <xf numFmtId="0" fontId="32" fillId="0" borderId="35" applyFill="0">
      <alignment horizontal="center" vertical="center" wrapText="1"/>
    </xf>
    <xf numFmtId="0" fontId="32" fillId="0" borderId="17" applyFill="0">
      <alignment horizontal="center" vertical="center" wrapText="1"/>
    </xf>
    <xf numFmtId="0" fontId="32" fillId="0" borderId="42" applyFill="0">
      <alignment horizontal="center" vertical="center" wrapText="1"/>
    </xf>
    <xf numFmtId="0" fontId="31" fillId="0" borderId="115" applyFill="0">
      <alignment horizontal="center" vertical="center" wrapText="1"/>
    </xf>
    <xf numFmtId="0" fontId="31" fillId="0" borderId="116" applyFill="0">
      <alignment horizontal="center" vertical="center" wrapText="1"/>
    </xf>
    <xf numFmtId="0" fontId="31" fillId="0" borderId="117" applyFill="0">
      <alignment horizontal="center" vertical="center" wrapText="1"/>
    </xf>
    <xf numFmtId="0" fontId="32" fillId="0" borderId="20" applyFill="0">
      <alignment horizontal="center" vertical="center" wrapText="1"/>
    </xf>
    <xf numFmtId="0" fontId="32" fillId="0" borderId="18" applyFill="0">
      <alignment horizontal="center" vertical="center" wrapText="1"/>
    </xf>
    <xf numFmtId="0" fontId="32" fillId="0" borderId="43" applyFill="0">
      <alignment horizontal="center" vertical="center" wrapText="1"/>
    </xf>
    <xf numFmtId="0" fontId="32" fillId="0" borderId="20" applyFill="0">
      <alignment horizontal="left" vertical="center" wrapText="1"/>
    </xf>
    <xf numFmtId="0" fontId="32" fillId="0" borderId="18" applyFill="0">
      <alignment horizontal="left" vertical="center" wrapText="1"/>
    </xf>
    <xf numFmtId="0" fontId="32" fillId="0" borderId="43" applyFill="0">
      <alignment horizontal="left" vertical="center" wrapText="1"/>
    </xf>
    <xf numFmtId="0" fontId="31" fillId="6" borderId="37">
      <alignment horizontal="right" vertical="center" wrapText="1"/>
      <protection locked="0"/>
    </xf>
    <xf numFmtId="0" fontId="31" fillId="6" borderId="35">
      <alignment horizontal="center" vertical="center" wrapText="1"/>
      <protection locked="0"/>
    </xf>
    <xf numFmtId="0" fontId="31" fillId="6" borderId="17">
      <alignment horizontal="center" vertical="center" wrapText="1"/>
      <protection locked="0"/>
    </xf>
    <xf numFmtId="0" fontId="31" fillId="6" borderId="42">
      <alignment horizontal="center" vertical="center" wrapText="1"/>
      <protection locked="0"/>
    </xf>
    <xf numFmtId="0" fontId="31" fillId="0" borderId="19" applyFill="0">
      <alignment horizontal="left" vertical="center" wrapText="1"/>
    </xf>
    <xf numFmtId="0" fontId="31" fillId="0" borderId="5" applyFill="0">
      <alignment horizontal="left" vertical="center" wrapText="1"/>
    </xf>
    <xf numFmtId="0" fontId="31" fillId="0" borderId="37" applyFill="0">
      <alignment horizontal="left" vertical="center" wrapText="1"/>
    </xf>
    <xf numFmtId="4" fontId="31" fillId="6" borderId="5">
      <alignment horizontal="right" vertical="center" wrapText="1"/>
      <protection locked="0"/>
    </xf>
    <xf numFmtId="49" fontId="31" fillId="6" borderId="4">
      <alignment horizontal="left" vertical="center" wrapText="1"/>
      <protection locked="0"/>
    </xf>
    <xf numFmtId="0" fontId="31" fillId="9" borderId="0" applyBorder="0">
      <alignment horizontal="left" vertical="center" wrapText="1"/>
    </xf>
    <xf numFmtId="49" fontId="31" fillId="0" borderId="21" applyFill="0">
      <alignment horizontal="center" vertical="center" wrapText="1"/>
    </xf>
    <xf numFmtId="0" fontId="32" fillId="0" borderId="19" applyFill="0">
      <alignment horizontal="left" vertical="center" wrapText="1"/>
    </xf>
    <xf numFmtId="0" fontId="32" fillId="0" borderId="5" applyFill="0">
      <alignment horizontal="left" vertical="center" wrapText="1"/>
    </xf>
    <xf numFmtId="0" fontId="32" fillId="0" borderId="37" applyFill="0">
      <alignment horizontal="left" vertical="center" wrapText="1"/>
    </xf>
    <xf numFmtId="10" fontId="31" fillId="6" borderId="37">
      <alignment horizontal="right" vertical="center" wrapText="1"/>
      <protection locked="0"/>
    </xf>
    <xf numFmtId="173" fontId="31" fillId="6" borderId="37">
      <alignment horizontal="right" vertical="center" wrapText="1"/>
      <protection locked="0"/>
    </xf>
    <xf numFmtId="49" fontId="31" fillId="9" borderId="0" applyBorder="0">
      <alignment horizontal="left" vertical="center" wrapText="1"/>
    </xf>
    <xf numFmtId="49" fontId="31" fillId="4" borderId="16">
      <alignment horizontal="center" vertical="center" wrapText="1"/>
    </xf>
    <xf numFmtId="4" fontId="31" fillId="8" borderId="19">
      <alignment horizontal="right" vertical="center" wrapText="1"/>
    </xf>
    <xf numFmtId="4" fontId="31" fillId="8" borderId="37">
      <alignment horizontal="right" vertical="center" wrapText="1"/>
    </xf>
    <xf numFmtId="0" fontId="31" fillId="6" borderId="46">
      <alignment horizontal="left" vertical="center" wrapText="1"/>
      <protection locked="0"/>
    </xf>
    <xf numFmtId="49" fontId="31" fillId="9" borderId="0" applyBorder="0">
      <alignment horizontal="left" vertical="top" wrapText="1"/>
    </xf>
    <xf numFmtId="49" fontId="36" fillId="9" borderId="0" applyBorder="0">
      <alignment horizontal="left" vertical="center" wrapText="1"/>
    </xf>
    <xf numFmtId="49" fontId="36" fillId="9" borderId="0" applyBorder="0">
      <alignment horizontal="left" vertical="top" wrapText="1"/>
    </xf>
    <xf numFmtId="49" fontId="31" fillId="0" borderId="19" applyFill="0">
      <alignment horizontal="left" vertical="center" wrapText="1"/>
    </xf>
    <xf numFmtId="49" fontId="31" fillId="0" borderId="5" applyFill="0">
      <alignment horizontal="left" vertical="center" wrapText="1"/>
    </xf>
    <xf numFmtId="49" fontId="31" fillId="0" borderId="37" applyFill="0">
      <alignment horizontal="left" vertical="center" wrapText="1"/>
    </xf>
    <xf numFmtId="4" fontId="31" fillId="6" borderId="16">
      <alignment horizontal="right" vertical="center" wrapText="1"/>
      <protection locked="0"/>
    </xf>
    <xf numFmtId="10" fontId="31" fillId="6" borderId="16">
      <alignment horizontal="right" vertical="center" wrapText="1"/>
      <protection locked="0"/>
    </xf>
    <xf numFmtId="0" fontId="31" fillId="14" borderId="4">
      <alignment horizontal="center" vertical="center" wrapText="1"/>
    </xf>
    <xf numFmtId="49" fontId="31" fillId="0" borderId="4" applyFill="0">
      <alignment horizontal="left" vertical="center" wrapText="1"/>
    </xf>
    <xf numFmtId="4" fontId="31" fillId="6" borderId="4">
      <alignment vertical="center" wrapText="1"/>
      <protection locked="0"/>
    </xf>
    <xf numFmtId="49" fontId="32" fillId="0" borderId="4" applyFill="0">
      <alignment horizontal="left" vertical="center" wrapText="1"/>
    </xf>
    <xf numFmtId="0" fontId="31" fillId="6" borderId="4">
      <alignment vertical="center" wrapText="1"/>
      <protection locked="0"/>
    </xf>
    <xf numFmtId="4" fontId="32" fillId="6" borderId="4">
      <alignment vertical="center" wrapText="1"/>
      <protection locked="0"/>
    </xf>
    <xf numFmtId="0" fontId="31" fillId="6" borderId="16">
      <alignment vertical="center" wrapText="1"/>
      <protection locked="0"/>
    </xf>
    <xf numFmtId="49" fontId="31" fillId="0" borderId="19" applyFill="0">
      <alignment vertical="center" wrapText="1"/>
    </xf>
    <xf numFmtId="49" fontId="31" fillId="0" borderId="5" applyFill="0">
      <alignment vertical="center" wrapText="1"/>
    </xf>
    <xf numFmtId="49" fontId="31" fillId="0" borderId="37" applyFill="0">
      <alignment vertical="center" wrapText="1"/>
    </xf>
    <xf numFmtId="0" fontId="31" fillId="0" borderId="19" applyFill="0">
      <alignment vertical="center" wrapText="1"/>
    </xf>
    <xf numFmtId="49" fontId="31" fillId="0" borderId="16" applyFill="0">
      <alignment vertical="center" wrapText="1"/>
    </xf>
    <xf numFmtId="49" fontId="32" fillId="15" borderId="16">
      <alignment horizontal="center" vertical="center" wrapText="1"/>
    </xf>
    <xf numFmtId="0" fontId="32" fillId="15" borderId="38">
      <alignment horizontal="left" vertical="center" wrapText="1"/>
    </xf>
    <xf numFmtId="0" fontId="32" fillId="15" borderId="0" applyBorder="0">
      <alignment horizontal="left" vertical="center" wrapText="1"/>
    </xf>
    <xf numFmtId="0" fontId="32" fillId="15" borderId="46">
      <alignment horizontal="left" vertical="center" wrapText="1"/>
    </xf>
    <xf numFmtId="3" fontId="32" fillId="15" borderId="20">
      <alignment horizontal="center" vertical="center" wrapText="1"/>
    </xf>
    <xf numFmtId="3" fontId="32" fillId="15" borderId="18">
      <alignment horizontal="center" vertical="center" wrapText="1"/>
    </xf>
    <xf numFmtId="0" fontId="31" fillId="0" borderId="16" applyFill="0">
      <alignment vertical="center" wrapText="1"/>
    </xf>
    <xf numFmtId="0" fontId="37" fillId="0" borderId="0" applyFill="0" applyBorder="0">
      <alignment horizontal="center" vertical="center" wrapText="1"/>
    </xf>
    <xf numFmtId="0" fontId="37" fillId="6" borderId="0" applyBorder="0">
      <alignment horizontal="left" vertical="center" wrapText="1"/>
      <protection locked="0"/>
    </xf>
    <xf numFmtId="0" fontId="32" fillId="0" borderId="16" applyFill="0">
      <alignment horizontal="left" vertical="center" wrapText="1"/>
    </xf>
    <xf numFmtId="0" fontId="31" fillId="0" borderId="5" applyFill="0">
      <alignment horizontal="center" vertical="center" wrapText="1"/>
    </xf>
    <xf numFmtId="174" fontId="31" fillId="6" borderId="16">
      <alignment horizontal="right" vertical="center" wrapText="1"/>
      <protection locked="0"/>
    </xf>
    <xf numFmtId="177" fontId="38" fillId="0" borderId="4" applyFill="0">
      <alignment horizontal="center" vertical="center" wrapText="1"/>
    </xf>
    <xf numFmtId="0" fontId="13" fillId="0" borderId="0" applyFill="0" applyBorder="0">
      <alignment horizontal="center" vertical="center" wrapText="1"/>
    </xf>
    <xf numFmtId="0" fontId="13" fillId="0" borderId="0" applyFill="0" applyBorder="0">
      <alignment horizontal="center" wrapText="1"/>
    </xf>
    <xf numFmtId="0" fontId="13" fillId="0" borderId="0" applyFill="0" applyBorder="0">
      <alignment horizontal="left" wrapText="1"/>
    </xf>
    <xf numFmtId="49" fontId="3" fillId="0" borderId="0" applyFill="0" applyBorder="0">
      <alignment horizontal="left" wrapText="1"/>
    </xf>
    <xf numFmtId="1" fontId="3" fillId="0" borderId="0" applyFill="0" applyBorder="0">
      <alignment horizontal="left" wrapText="1"/>
    </xf>
    <xf numFmtId="0" fontId="3" fillId="0" borderId="0" applyFill="0" applyBorder="0">
      <alignment horizontal="center" wrapText="1"/>
    </xf>
    <xf numFmtId="178" fontId="3" fillId="6" borderId="16">
      <alignment horizontal="center" vertical="center" wrapText="1"/>
      <protection locked="0"/>
    </xf>
    <xf numFmtId="178" fontId="3" fillId="6" borderId="22">
      <alignment horizontal="center" vertical="center" wrapText="1"/>
      <protection locked="0"/>
    </xf>
    <xf numFmtId="0" fontId="3" fillId="0" borderId="0" applyFill="0" applyBorder="0">
      <alignment wrapText="1"/>
    </xf>
    <xf numFmtId="170" fontId="3" fillId="6" borderId="1">
      <alignment horizontal="center" vertical="center" wrapText="1"/>
      <protection locked="0"/>
    </xf>
    <xf numFmtId="170" fontId="3" fillId="6" borderId="3">
      <alignment horizontal="center" vertical="center" wrapText="1"/>
      <protection locked="0"/>
    </xf>
    <xf numFmtId="0" fontId="3" fillId="6" borderId="0" applyBorder="0">
      <alignment horizontal="left" vertical="center" wrapText="1"/>
      <protection locked="0"/>
    </xf>
    <xf numFmtId="0" fontId="3" fillId="6" borderId="0" applyBorder="0">
      <alignment horizontal="center" vertical="center" wrapText="1"/>
      <protection locked="0"/>
    </xf>
    <xf numFmtId="0" fontId="3" fillId="0" borderId="118" applyFill="0">
      <alignment horizontal="center" vertical="center" wrapText="1"/>
    </xf>
    <xf numFmtId="49" fontId="3" fillId="0" borderId="19" applyFill="0">
      <alignment horizontal="center" vertical="center" wrapText="1"/>
    </xf>
    <xf numFmtId="0" fontId="3" fillId="0" borderId="119" applyFill="0">
      <alignment horizontal="left" vertical="center" wrapText="1"/>
    </xf>
    <xf numFmtId="0" fontId="3" fillId="0" borderId="120" applyFill="0">
      <alignment horizontal="left" vertical="center" wrapText="1"/>
    </xf>
    <xf numFmtId="0" fontId="3" fillId="0" borderId="121" applyFill="0">
      <alignment horizontal="left" vertical="center" wrapText="1"/>
    </xf>
    <xf numFmtId="0" fontId="3" fillId="0" borderId="122" applyFill="0">
      <alignment horizontal="left" vertical="center" wrapText="1"/>
    </xf>
    <xf numFmtId="4" fontId="3" fillId="0" borderId="16" applyFill="0">
      <alignment horizontal="left" vertical="center" wrapText="1"/>
    </xf>
    <xf numFmtId="4" fontId="3" fillId="0" borderId="22" applyFill="0">
      <alignment horizontal="left" vertical="center" wrapText="1"/>
    </xf>
    <xf numFmtId="0" fontId="13" fillId="0" borderId="123" applyFill="0">
      <alignment horizontal="left" vertical="center" wrapText="1"/>
    </xf>
    <xf numFmtId="0" fontId="13" fillId="0" borderId="124" applyFill="0">
      <alignment horizontal="left" vertical="center" wrapText="1"/>
    </xf>
    <xf numFmtId="0" fontId="13" fillId="0" borderId="125" applyFill="0">
      <alignment horizontal="left" vertical="center" wrapText="1"/>
    </xf>
    <xf numFmtId="4" fontId="3" fillId="0" borderId="19" applyFill="0">
      <alignment horizontal="left" vertical="center" wrapText="1"/>
    </xf>
    <xf numFmtId="9" fontId="13" fillId="8" borderId="16">
      <alignment horizontal="right" vertical="center" wrapText="1"/>
    </xf>
    <xf numFmtId="9" fontId="13" fillId="8" borderId="19">
      <alignment horizontal="right" vertical="center" wrapText="1"/>
    </xf>
    <xf numFmtId="10" fontId="13" fillId="8" borderId="19">
      <alignment horizontal="right" vertical="center" wrapText="1"/>
    </xf>
    <xf numFmtId="4" fontId="3" fillId="6" borderId="0" applyBorder="0">
      <alignment vertical="center" wrapText="1"/>
      <protection locked="0"/>
    </xf>
    <xf numFmtId="10" fontId="13" fillId="10" borderId="16">
      <alignment horizontal="right" vertical="center" wrapText="1"/>
    </xf>
    <xf numFmtId="0" fontId="3" fillId="0" borderId="38" applyFill="0">
      <alignment horizontal="center" wrapText="1"/>
    </xf>
    <xf numFmtId="0" fontId="13" fillId="0" borderId="0" applyFill="0" applyBorder="0">
      <alignment horizontal="left" vertical="center" wrapText="1"/>
    </xf>
    <xf numFmtId="2" fontId="3" fillId="8" borderId="16">
      <alignment horizontal="right" vertical="center" wrapText="1"/>
    </xf>
    <xf numFmtId="49" fontId="3" fillId="6" borderId="19">
      <alignment horizontal="center" vertical="center" wrapText="1"/>
      <protection locked="0"/>
    </xf>
    <xf numFmtId="49" fontId="3" fillId="6" borderId="5">
      <alignment horizontal="center" vertical="center" wrapText="1"/>
      <protection locked="0"/>
    </xf>
    <xf numFmtId="49" fontId="3" fillId="6" borderId="37">
      <alignment horizontal="center" vertical="center" wrapText="1"/>
      <protection locked="0"/>
    </xf>
    <xf numFmtId="0" fontId="39" fillId="0" borderId="16" applyFill="0">
      <alignment horizontal="left" vertical="center" wrapText="1"/>
    </xf>
    <xf numFmtId="0" fontId="3" fillId="0" borderId="46" applyFill="0">
      <alignment horizontal="left" vertical="center" wrapText="1"/>
    </xf>
    <xf numFmtId="4" fontId="3" fillId="6" borderId="16">
      <alignment horizontal="left" vertical="center" wrapText="1"/>
      <protection locked="0"/>
    </xf>
    <xf numFmtId="0" fontId="3" fillId="6" borderId="16">
      <alignment horizontal="left" vertical="center" wrapText="1"/>
      <protection locked="0"/>
    </xf>
    <xf numFmtId="4" fontId="3" fillId="6" borderId="19">
      <alignment horizontal="center" vertical="center" wrapText="1"/>
      <protection locked="0"/>
    </xf>
    <xf numFmtId="4" fontId="3" fillId="6" borderId="5">
      <alignment horizontal="center" vertical="center" wrapText="1"/>
      <protection locked="0"/>
    </xf>
    <xf numFmtId="4" fontId="3" fillId="6" borderId="37">
      <alignment horizontal="center" vertical="center" wrapText="1"/>
      <protection locked="0"/>
    </xf>
    <xf numFmtId="49" fontId="3" fillId="0" borderId="35" applyFill="0">
      <alignment horizontal="center" vertical="center" wrapText="1"/>
    </xf>
    <xf numFmtId="49" fontId="3" fillId="0" borderId="110" applyFill="0">
      <alignment horizontal="center" vertical="center" wrapText="1"/>
    </xf>
    <xf numFmtId="49" fontId="3" fillId="0" borderId="111" applyFill="0">
      <alignment horizontal="center" vertical="center" wrapText="1"/>
    </xf>
    <xf numFmtId="49" fontId="3" fillId="0" borderId="42" applyFill="0">
      <alignment horizontal="center" vertical="center" wrapText="1"/>
    </xf>
    <xf numFmtId="49" fontId="3" fillId="13" borderId="35">
      <alignment horizontal="left" vertical="center" wrapText="1"/>
    </xf>
    <xf numFmtId="49" fontId="3" fillId="13" borderId="17">
      <alignment horizontal="left" vertical="center" wrapText="1"/>
    </xf>
    <xf numFmtId="49" fontId="3" fillId="13" borderId="5">
      <alignment horizontal="left" vertical="center" wrapText="1"/>
    </xf>
    <xf numFmtId="49" fontId="3" fillId="13" borderId="37">
      <alignment horizontal="left" vertical="center" wrapText="1"/>
    </xf>
    <xf numFmtId="49" fontId="3" fillId="6" borderId="19">
      <alignment horizontal="left" vertical="center" wrapText="1"/>
      <protection locked="0"/>
    </xf>
    <xf numFmtId="49" fontId="3" fillId="6" borderId="5">
      <alignment horizontal="left" vertical="center" wrapText="1"/>
      <protection locked="0"/>
    </xf>
    <xf numFmtId="49" fontId="3" fillId="6" borderId="37">
      <alignment horizontal="left" vertical="center" wrapText="1"/>
      <protection locked="0"/>
    </xf>
    <xf numFmtId="0" fontId="3" fillId="0" borderId="17" applyFill="0">
      <alignment horizontal="left" vertical="center" wrapText="1"/>
    </xf>
    <xf numFmtId="3" fontId="3" fillId="0" borderId="35" applyFill="0">
      <alignment horizontal="center" vertical="center" wrapText="1"/>
    </xf>
    <xf numFmtId="3" fontId="3" fillId="0" borderId="17" applyFill="0">
      <alignment horizontal="center" vertical="center" wrapText="1"/>
    </xf>
    <xf numFmtId="3" fontId="3" fillId="0" borderId="42" applyFill="0">
      <alignment horizontal="center" vertical="center" wrapText="1"/>
    </xf>
    <xf numFmtId="3" fontId="3" fillId="0" borderId="20" applyFill="0">
      <alignment horizontal="center" vertical="center" wrapText="1"/>
    </xf>
    <xf numFmtId="3" fontId="3" fillId="0" borderId="18" applyFill="0">
      <alignment horizontal="center" vertical="center" wrapText="1"/>
    </xf>
    <xf numFmtId="3" fontId="3" fillId="0" borderId="43" applyFill="0">
      <alignment horizontal="center" vertical="center" wrapText="1"/>
    </xf>
    <xf numFmtId="49" fontId="3" fillId="6" borderId="16">
      <alignment vertical="center" wrapText="1"/>
      <protection locked="0"/>
    </xf>
    <xf numFmtId="0" fontId="6" fillId="0" borderId="0" applyFill="0" applyBorder="0">
      <alignment horizontal="left" wrapText="1"/>
    </xf>
    <xf numFmtId="0" fontId="40" fillId="0" borderId="0" applyFill="0" applyBorder="0">
      <alignment horizontal="left" vertical="center" wrapText="1"/>
    </xf>
    <xf numFmtId="0" fontId="41" fillId="0" borderId="0" applyFill="0" applyBorder="0">
      <alignment horizontal="left" vertical="center" wrapText="1"/>
    </xf>
    <xf numFmtId="49" fontId="3" fillId="0" borderId="37" applyFill="0">
      <alignment horizontal="center" vertical="center" wrapText="1"/>
    </xf>
    <xf numFmtId="3" fontId="3" fillId="8" borderId="37">
      <alignment horizontal="right" vertical="center" wrapText="1"/>
    </xf>
    <xf numFmtId="0" fontId="3" fillId="0" borderId="112" applyFill="0">
      <alignment horizontal="center" vertical="center" wrapText="1"/>
    </xf>
    <xf numFmtId="0" fontId="3" fillId="0" borderId="113" applyFill="0">
      <alignment horizontal="center" vertical="center" wrapText="1"/>
    </xf>
    <xf numFmtId="0" fontId="3" fillId="0" borderId="114" applyFill="0">
      <alignment horizontal="center" vertical="center" wrapText="1"/>
    </xf>
    <xf numFmtId="0" fontId="13" fillId="0" borderId="17" applyFill="0">
      <alignment horizontal="center" vertical="center" wrapText="1"/>
    </xf>
    <xf numFmtId="0" fontId="3" fillId="0" borderId="115" applyFill="0">
      <alignment horizontal="center" vertical="center" wrapText="1"/>
    </xf>
    <xf numFmtId="0" fontId="3" fillId="0" borderId="116" applyFill="0">
      <alignment horizontal="center" vertical="center" wrapText="1"/>
    </xf>
    <xf numFmtId="0" fontId="3" fillId="0" borderId="117" applyFill="0">
      <alignment horizontal="center" vertical="center" wrapText="1"/>
    </xf>
    <xf numFmtId="0" fontId="13" fillId="0" borderId="18" applyFill="0">
      <alignment horizontal="center" vertical="center" wrapText="1"/>
    </xf>
    <xf numFmtId="0" fontId="13" fillId="0" borderId="43" applyFill="0">
      <alignment horizontal="left" vertical="center" wrapText="1"/>
    </xf>
    <xf numFmtId="0" fontId="3" fillId="8" borderId="37">
      <alignment horizontal="right" vertical="center" wrapText="1"/>
    </xf>
    <xf numFmtId="0" fontId="3" fillId="0" borderId="37" applyFill="0">
      <alignment horizontal="left" vertical="center" wrapText="1"/>
    </xf>
    <xf numFmtId="0" fontId="13" fillId="0" borderId="19" applyFill="0">
      <alignment horizontal="left" vertical="center" wrapText="1"/>
    </xf>
    <xf numFmtId="0" fontId="13" fillId="0" borderId="5" applyFill="0">
      <alignment horizontal="left" vertical="center" wrapText="1"/>
    </xf>
    <xf numFmtId="0" fontId="13" fillId="0" borderId="37" applyFill="0">
      <alignment horizontal="left" vertical="center" wrapText="1"/>
    </xf>
    <xf numFmtId="0" fontId="3" fillId="0" borderId="17" applyFill="0">
      <alignment horizontal="center" vertical="center" wrapText="1"/>
    </xf>
    <xf numFmtId="0" fontId="3" fillId="0" borderId="18" applyFill="0">
      <alignment horizontal="center" vertical="center" wrapText="1"/>
    </xf>
    <xf numFmtId="10" fontId="3" fillId="8" borderId="37">
      <alignment horizontal="right" vertical="center" wrapText="1"/>
    </xf>
    <xf numFmtId="173" fontId="3" fillId="8" borderId="37">
      <alignment horizontal="right" vertical="center" wrapText="1"/>
    </xf>
    <xf numFmtId="49" fontId="3" fillId="0" borderId="19" applyFill="0">
      <alignment horizontal="left" vertical="center" wrapText="1"/>
    </xf>
    <xf numFmtId="49" fontId="3" fillId="0" borderId="37" applyFill="0">
      <alignment horizontal="left" vertical="center" wrapText="1"/>
    </xf>
    <xf numFmtId="0" fontId="3" fillId="15" borderId="38">
      <alignment horizontal="center" vertical="center" wrapText="1"/>
    </xf>
    <xf numFmtId="0" fontId="3" fillId="15" borderId="0" applyBorder="0">
      <alignment horizontal="center" vertical="center" wrapText="1"/>
    </xf>
    <xf numFmtId="49" fontId="13" fillId="0" borderId="16" applyFill="0">
      <alignment horizontal="left" vertical="center" wrapText="1"/>
    </xf>
    <xf numFmtId="4" fontId="13" fillId="8" borderId="19">
      <alignment horizontal="center" vertical="center" wrapText="1"/>
    </xf>
    <xf numFmtId="4" fontId="13" fillId="8" borderId="5">
      <alignment horizontal="center" vertical="center" wrapText="1"/>
    </xf>
    <xf numFmtId="4" fontId="13" fillId="8" borderId="37">
      <alignment horizontal="center" vertical="center" wrapText="1"/>
    </xf>
    <xf numFmtId="0" fontId="3" fillId="6" borderId="16">
      <alignment vertical="center" wrapText="1"/>
      <protection locked="0"/>
    </xf>
    <xf numFmtId="49" fontId="3" fillId="0" borderId="19" applyFill="0">
      <alignment vertical="center" wrapText="1"/>
    </xf>
    <xf numFmtId="49" fontId="3" fillId="0" borderId="5" applyFill="0">
      <alignment vertical="center" wrapText="1"/>
    </xf>
    <xf numFmtId="49" fontId="3" fillId="0" borderId="37" applyFill="0">
      <alignment vertical="center" wrapText="1"/>
    </xf>
    <xf numFmtId="49" fontId="3" fillId="0" borderId="16" applyFill="0">
      <alignment vertical="center" wrapText="1"/>
    </xf>
    <xf numFmtId="0" fontId="13" fillId="15" borderId="38">
      <alignment horizontal="left" vertical="center" wrapText="1"/>
    </xf>
    <xf numFmtId="0" fontId="13" fillId="15" borderId="0" applyBorder="0">
      <alignment horizontal="left" vertical="center" wrapText="1"/>
    </xf>
    <xf numFmtId="0" fontId="13" fillId="15" borderId="46">
      <alignment horizontal="left" vertical="center" wrapText="1"/>
    </xf>
    <xf numFmtId="3" fontId="13" fillId="15" borderId="20">
      <alignment horizontal="center" vertical="center" wrapText="1"/>
    </xf>
    <xf numFmtId="3" fontId="13" fillId="15" borderId="18">
      <alignment horizontal="center" vertical="center" wrapText="1"/>
    </xf>
    <xf numFmtId="0" fontId="42" fillId="0" borderId="0" applyFill="0" applyBorder="0">
      <alignment horizontal="center" vertical="center" wrapText="1"/>
    </xf>
    <xf numFmtId="0" fontId="43" fillId="0" borderId="0" applyFill="0" applyBorder="0">
      <alignment horizontal="left" vertical="center" wrapText="1"/>
    </xf>
    <xf numFmtId="0" fontId="13" fillId="6" borderId="0" applyBorder="0">
      <alignment horizontal="left" vertical="center" wrapText="1"/>
      <protection locked="0"/>
    </xf>
    <xf numFmtId="0" fontId="31" fillId="0" borderId="0" applyFill="0" applyBorder="0">
      <alignment wrapText="1"/>
    </xf>
    <xf numFmtId="49" fontId="31" fillId="6" borderId="0" applyBorder="0">
      <alignment vertical="center" wrapText="1"/>
      <protection locked="0"/>
    </xf>
    <xf numFmtId="0" fontId="31" fillId="6" borderId="4">
      <alignment horizontal="left" vertical="center" wrapText="1"/>
      <protection locked="0"/>
    </xf>
    <xf numFmtId="0" fontId="31" fillId="6" borderId="1">
      <alignment horizontal="left" vertical="center" wrapText="1"/>
      <protection locked="0"/>
    </xf>
    <xf numFmtId="0" fontId="31" fillId="6" borderId="3">
      <alignment horizontal="left" vertical="center" wrapText="1"/>
      <protection locked="0"/>
    </xf>
    <xf numFmtId="4" fontId="31" fillId="0" borderId="16" applyFill="0">
      <alignment horizontal="left" vertical="center" wrapText="1"/>
    </xf>
    <xf numFmtId="4" fontId="31" fillId="0" borderId="22" applyFill="0">
      <alignment horizontal="left" vertical="center" wrapText="1"/>
    </xf>
    <xf numFmtId="49" fontId="32" fillId="0" borderId="19" applyFill="0">
      <alignment horizontal="center" vertical="center" wrapText="1"/>
    </xf>
    <xf numFmtId="4" fontId="32" fillId="8" borderId="16">
      <alignment horizontal="right" vertical="center" wrapText="1"/>
    </xf>
    <xf numFmtId="4" fontId="31" fillId="0" borderId="19" applyFill="0">
      <alignment horizontal="left" vertical="center" wrapText="1"/>
    </xf>
    <xf numFmtId="4" fontId="32" fillId="8" borderId="19">
      <alignment horizontal="right" vertical="center" wrapText="1"/>
    </xf>
    <xf numFmtId="9" fontId="32" fillId="8" borderId="16">
      <alignment horizontal="right" vertical="center" wrapText="1"/>
    </xf>
    <xf numFmtId="9" fontId="32" fillId="8" borderId="19">
      <alignment horizontal="right" vertical="center" wrapText="1"/>
    </xf>
    <xf numFmtId="10" fontId="32" fillId="8" borderId="16">
      <alignment horizontal="right" vertical="center" wrapText="1"/>
    </xf>
    <xf numFmtId="10" fontId="32" fillId="8" borderId="19">
      <alignment horizontal="right" vertical="center" wrapText="1"/>
    </xf>
    <xf numFmtId="176" fontId="31" fillId="6" borderId="0" applyBorder="0">
      <alignment horizontal="right" vertical="center" wrapText="1"/>
      <protection locked="0"/>
    </xf>
    <xf numFmtId="0" fontId="44" fillId="0" borderId="0" applyFill="0" applyBorder="0">
      <alignment vertical="center" wrapText="1"/>
    </xf>
    <xf numFmtId="4" fontId="31" fillId="6" borderId="0" applyBorder="0">
      <alignment horizontal="right" vertical="center" wrapText="1"/>
      <protection locked="0"/>
    </xf>
    <xf numFmtId="0" fontId="31" fillId="6" borderId="0" applyBorder="0">
      <alignment horizontal="left" vertical="center" wrapText="1"/>
    </xf>
    <xf numFmtId="49" fontId="31" fillId="6" borderId="19">
      <alignment horizontal="left" vertical="center" wrapText="1"/>
    </xf>
    <xf numFmtId="49" fontId="31" fillId="6" borderId="5">
      <alignment horizontal="left" vertical="center" wrapText="1"/>
    </xf>
    <xf numFmtId="49" fontId="31" fillId="6" borderId="37">
      <alignment horizontal="left" vertical="center" wrapText="1"/>
    </xf>
    <xf numFmtId="0" fontId="31" fillId="6" borderId="17">
      <alignment horizontal="left" vertical="center" wrapText="1"/>
      <protection locked="0"/>
    </xf>
    <xf numFmtId="3" fontId="31" fillId="0" borderId="35" applyFill="0">
      <alignment horizontal="center" vertical="center" wrapText="1"/>
    </xf>
    <xf numFmtId="3" fontId="31" fillId="0" borderId="17" applyFill="0">
      <alignment horizontal="center" vertical="center" wrapText="1"/>
    </xf>
    <xf numFmtId="3" fontId="31" fillId="0" borderId="42" applyFill="0">
      <alignment horizontal="center" vertical="center" wrapText="1"/>
    </xf>
    <xf numFmtId="3" fontId="31" fillId="0" borderId="20" applyFill="0">
      <alignment horizontal="center" vertical="center" wrapText="1"/>
    </xf>
    <xf numFmtId="3" fontId="31" fillId="0" borderId="18" applyFill="0">
      <alignment horizontal="center" vertical="center" wrapText="1"/>
    </xf>
    <xf numFmtId="3" fontId="31" fillId="0" borderId="43" applyFill="0">
      <alignment horizontal="center" vertical="center" wrapText="1"/>
    </xf>
    <xf numFmtId="49" fontId="31" fillId="6" borderId="0" applyBorder="0">
      <alignment horizontal="left" vertical="center" wrapText="1"/>
    </xf>
    <xf numFmtId="49" fontId="32" fillId="6" borderId="0" applyBorder="0">
      <alignment horizontal="left" vertical="center" wrapText="1"/>
      <protection locked="0"/>
    </xf>
    <xf numFmtId="4" fontId="45" fillId="14" borderId="16">
      <alignment horizontal="right" vertical="center" wrapText="1"/>
    </xf>
    <xf numFmtId="4" fontId="45" fillId="6" borderId="16">
      <alignment horizontal="right" vertical="center" wrapText="1"/>
      <protection locked="0"/>
    </xf>
    <xf numFmtId="173" fontId="45" fillId="6" borderId="16">
      <alignment horizontal="right" vertical="center" wrapText="1"/>
      <protection locked="0"/>
    </xf>
    <xf numFmtId="4" fontId="31" fillId="6" borderId="4" quotePrefix="1">
      <alignment horizontal="right" vertical="center" wrapText="1"/>
      <protection locked="0"/>
    </xf>
    <xf numFmtId="0" fontId="3" fillId="6" borderId="4">
      <alignment horizontal="left" vertical="center" wrapText="1"/>
      <protection locked="0"/>
    </xf>
    <xf numFmtId="0" fontId="3" fillId="6" borderId="1">
      <alignment horizontal="left" vertical="center" wrapText="1"/>
      <protection locked="0"/>
    </xf>
    <xf numFmtId="0" fontId="3" fillId="6" borderId="3">
      <alignment horizontal="left" vertical="center" wrapText="1"/>
      <protection locked="0"/>
    </xf>
    <xf numFmtId="176" fontId="25" fillId="6" borderId="0" applyBorder="0">
      <alignment horizontal="right" vertical="center" wrapText="1"/>
      <protection locked="0"/>
    </xf>
    <xf numFmtId="176" fontId="3" fillId="6" borderId="0" applyBorder="0">
      <alignment horizontal="right" vertical="center" wrapText="1"/>
      <protection locked="0"/>
    </xf>
    <xf numFmtId="49" fontId="3" fillId="6" borderId="19">
      <alignment horizontal="left" vertical="center" wrapText="1"/>
    </xf>
    <xf numFmtId="49" fontId="3" fillId="6" borderId="5">
      <alignment horizontal="left" vertical="center" wrapText="1"/>
    </xf>
    <xf numFmtId="49" fontId="3" fillId="6" borderId="37">
      <alignment horizontal="left" vertical="center" wrapText="1"/>
    </xf>
    <xf numFmtId="49" fontId="2" fillId="6" borderId="16">
      <alignment horizontal="right" vertical="center" wrapText="1"/>
      <protection locked="0"/>
    </xf>
    <xf numFmtId="10" fontId="2" fillId="8" borderId="37">
      <alignment horizontal="right" vertical="center" wrapText="1"/>
    </xf>
    <xf numFmtId="4" fontId="2" fillId="8" borderId="37">
      <alignment horizontal="right" vertical="center" wrapText="1"/>
    </xf>
    <xf numFmtId="173" fontId="2" fillId="8" borderId="37">
      <alignment horizontal="right" vertical="center" wrapText="1"/>
    </xf>
    <xf numFmtId="0" fontId="1" fillId="0" borderId="49" applyFill="0">
      <alignment horizontal="left" vertical="center" wrapText="1"/>
    </xf>
    <xf numFmtId="0" fontId="1" fillId="0" borderId="5" applyFill="0">
      <alignment horizontal="center" vertical="center" wrapText="1"/>
    </xf>
    <xf numFmtId="0" fontId="1" fillId="0" borderId="49" applyFill="0">
      <alignment horizontal="center" vertical="center" wrapText="1"/>
    </xf>
    <xf numFmtId="0" fontId="1" fillId="14" borderId="0" applyBorder="0">
      <alignment horizontal="center" vertical="center" wrapText="1"/>
    </xf>
    <xf numFmtId="0" fontId="16" fillId="0" borderId="5" applyFill="0">
      <alignment horizontal="center" vertical="center" wrapText="1"/>
    </xf>
    <xf numFmtId="4" fontId="13" fillId="8" borderId="49">
      <alignment horizontal="right" vertical="center" wrapText="1"/>
    </xf>
    <xf numFmtId="4" fontId="3" fillId="8" borderId="49">
      <alignment horizontal="right" vertical="center" wrapText="1"/>
    </xf>
    <xf numFmtId="4" fontId="3" fillId="6" borderId="126">
      <alignment horizontal="right" vertical="center" wrapText="1"/>
      <protection locked="0"/>
    </xf>
    <xf numFmtId="4" fontId="3" fillId="6" borderId="127">
      <alignment horizontal="right" vertical="center" wrapText="1"/>
      <protection locked="0"/>
    </xf>
    <xf numFmtId="0" fontId="12" fillId="0" borderId="0" applyFill="0" applyBorder="0">
      <alignment vertical="center"/>
    </xf>
    <xf numFmtId="0" fontId="13" fillId="13" borderId="38">
      <alignment horizontal="center" vertical="center" wrapText="1"/>
    </xf>
    <xf numFmtId="0" fontId="13" fillId="13" borderId="0" applyBorder="0">
      <alignment horizontal="left" vertical="center" wrapText="1"/>
    </xf>
    <xf numFmtId="0" fontId="13" fillId="13" borderId="0" applyBorder="0">
      <alignment horizontal="center" vertical="center" wrapText="1"/>
    </xf>
    <xf numFmtId="4" fontId="13" fillId="8" borderId="27">
      <alignment horizontal="right" vertical="center" wrapText="1"/>
    </xf>
    <xf numFmtId="4" fontId="3" fillId="6" borderId="27">
      <alignment horizontal="right" vertical="center" wrapText="1"/>
      <protection locked="0"/>
    </xf>
    <xf numFmtId="0" fontId="3" fillId="3" borderId="27">
      <alignment horizontal="center" vertical="center" wrapText="1"/>
      <protection locked="0"/>
    </xf>
    <xf numFmtId="0" fontId="3" fillId="3" borderId="27">
      <alignment horizontal="center" vertical="center" wrapText="1"/>
    </xf>
    <xf numFmtId="4" fontId="13" fillId="6" borderId="27">
      <alignment horizontal="right" vertical="center" wrapText="1"/>
      <protection locked="0"/>
    </xf>
    <xf numFmtId="4" fontId="13" fillId="6" borderId="27">
      <alignment horizontal="right" vertical="center" wrapText="1"/>
    </xf>
    <xf numFmtId="0" fontId="3" fillId="0" borderId="26" applyFill="0">
      <alignment horizontal="left" vertical="center" wrapText="1"/>
    </xf>
    <xf numFmtId="49" fontId="3" fillId="0" borderId="17" applyFill="0">
      <alignment horizontal="center" vertical="center" wrapText="1"/>
    </xf>
    <xf numFmtId="49" fontId="3" fillId="6" borderId="22">
      <alignment horizontal="left" vertical="center" wrapText="1"/>
      <protection locked="0"/>
    </xf>
    <xf numFmtId="0" fontId="3" fillId="0" borderId="43" applyFill="0">
      <alignment horizontal="left" vertical="center" wrapText="1"/>
    </xf>
    <xf numFmtId="49" fontId="3" fillId="6" borderId="21">
      <alignment horizontal="left" vertical="center" wrapText="1"/>
      <protection locked="0"/>
    </xf>
    <xf numFmtId="0" fontId="12" fillId="0" borderId="0" applyFill="0" applyBorder="0">
      <alignment vertical="top"/>
    </xf>
    <xf numFmtId="49" fontId="13" fillId="6" borderId="16">
      <alignment horizontal="left" vertical="center" wrapText="1"/>
    </xf>
    <xf numFmtId="0" fontId="3" fillId="15" borderId="19">
      <alignment horizontal="center" vertical="center" wrapText="1"/>
    </xf>
    <xf numFmtId="0" fontId="3" fillId="15" borderId="5">
      <alignment horizontal="center" vertical="center" wrapText="1"/>
    </xf>
    <xf numFmtId="0" fontId="3" fillId="15" borderId="37">
      <alignment horizontal="center" vertical="center" wrapText="1"/>
    </xf>
    <xf numFmtId="0" fontId="3" fillId="12" borderId="27">
      <alignment horizontal="center" vertical="center" wrapText="1"/>
    </xf>
    <xf numFmtId="3" fontId="3" fillId="0" borderId="47" applyFill="0">
      <alignment horizontal="center" vertical="center" wrapText="1"/>
    </xf>
    <xf numFmtId="0" fontId="13" fillId="13" borderId="19">
      <alignment horizontal="center" vertical="center" wrapText="1"/>
    </xf>
    <xf numFmtId="0" fontId="13" fillId="13" borderId="5">
      <alignment horizontal="left" vertical="center" wrapText="1"/>
    </xf>
    <xf numFmtId="0" fontId="38" fillId="13" borderId="5">
      <alignment horizontal="left" vertical="center" wrapText="1"/>
    </xf>
    <xf numFmtId="4" fontId="1" fillId="8" borderId="16">
      <alignment horizontal="right" vertical="center" wrapText="1"/>
    </xf>
    <xf numFmtId="4" fontId="1" fillId="12" borderId="16">
      <alignment horizontal="right" vertical="center" wrapText="1"/>
    </xf>
    <xf numFmtId="0" fontId="13" fillId="13" borderId="37">
      <alignment horizontal="left" vertical="center" wrapText="1"/>
    </xf>
    <xf numFmtId="49" fontId="39" fillId="6" borderId="16">
      <alignment horizontal="center" vertical="center" wrapText="1"/>
      <protection locked="0"/>
    </xf>
    <xf numFmtId="4" fontId="13" fillId="13" borderId="42">
      <alignment horizontal="left" vertical="center" wrapText="1"/>
    </xf>
    <xf numFmtId="49" fontId="2" fillId="6" borderId="16">
      <alignment horizontal="center" vertical="center" wrapText="1"/>
    </xf>
    <xf numFmtId="10" fontId="3" fillId="3" borderId="19">
      <alignment horizontal="right" vertical="center" wrapText="1"/>
    </xf>
    <xf numFmtId="0" fontId="15" fillId="11" borderId="20">
      <alignment horizontal="left" vertical="center" wrapText="1"/>
    </xf>
    <xf numFmtId="0" fontId="15" fillId="11" borderId="18">
      <alignment horizontal="left" vertical="center" wrapText="1"/>
    </xf>
    <xf numFmtId="0" fontId="18" fillId="11" borderId="18">
      <alignment horizontal="center" vertical="center" wrapText="1"/>
    </xf>
    <xf numFmtId="0" fontId="25" fillId="11" borderId="18">
      <alignment horizontal="center" vertical="center" wrapText="1"/>
    </xf>
    <xf numFmtId="4" fontId="1" fillId="11" borderId="18">
      <alignment horizontal="right" vertical="center" wrapText="1"/>
    </xf>
    <xf numFmtId="4" fontId="1" fillId="11" borderId="21">
      <alignment horizontal="right" vertical="center" wrapText="1"/>
    </xf>
    <xf numFmtId="4" fontId="3" fillId="11" borderId="18">
      <alignment horizontal="right" vertical="center" wrapText="1"/>
    </xf>
    <xf numFmtId="4" fontId="3" fillId="11" borderId="0" applyBorder="0">
      <alignment horizontal="right" vertical="center" wrapText="1"/>
    </xf>
    <xf numFmtId="4" fontId="1" fillId="11" borderId="4">
      <alignment horizontal="right" vertical="center" wrapText="1"/>
    </xf>
    <xf numFmtId="49" fontId="39" fillId="6" borderId="16">
      <alignment horizontal="center" vertical="center" wrapText="1"/>
      <protection locked="0"/>
    </xf>
    <xf numFmtId="4" fontId="3" fillId="12" borderId="16">
      <alignment horizontal="right" vertical="center" wrapText="1"/>
    </xf>
    <xf numFmtId="4" fontId="3" fillId="6" borderId="25">
      <alignment horizontal="right" vertical="center" wrapText="1"/>
    </xf>
    <xf numFmtId="4" fontId="1" fillId="11" borderId="16">
      <alignment horizontal="right" vertical="center" wrapText="1"/>
    </xf>
    <xf numFmtId="4" fontId="13" fillId="13" borderId="37">
      <alignment horizontal="left" vertical="center" wrapText="1"/>
    </xf>
    <xf numFmtId="49" fontId="2" fillId="6" borderId="16">
      <alignment horizontal="center" vertical="center" wrapText="1"/>
      <protection locked="0"/>
    </xf>
    <xf numFmtId="10" fontId="3" fillId="3" borderId="19">
      <alignment horizontal="right" vertical="center" wrapText="1"/>
      <protection locked="0"/>
    </xf>
    <xf numFmtId="0" fontId="18" fillId="11" borderId="19">
      <alignment horizontal="center" vertical="center" wrapText="1"/>
    </xf>
    <xf numFmtId="0" fontId="18" fillId="11" borderId="5">
      <alignment horizontal="center" vertical="center" wrapText="1"/>
    </xf>
    <xf numFmtId="0" fontId="25" fillId="11" borderId="5">
      <alignment horizontal="center" vertical="center" wrapText="1"/>
    </xf>
    <xf numFmtId="4" fontId="1" fillId="11" borderId="5">
      <alignment horizontal="right" vertical="center" wrapText="1"/>
    </xf>
    <xf numFmtId="4" fontId="3" fillId="11" borderId="5">
      <alignment horizontal="right" vertical="center" wrapText="1"/>
    </xf>
    <xf numFmtId="4" fontId="1" fillId="11" borderId="37">
      <alignment horizontal="right" vertical="center" wrapText="1"/>
    </xf>
    <xf numFmtId="0" fontId="13" fillId="13" borderId="20">
      <alignment horizontal="center" vertical="center" wrapText="1"/>
    </xf>
    <xf numFmtId="0" fontId="13" fillId="13" borderId="18">
      <alignment horizontal="left" vertical="center" wrapText="1"/>
    </xf>
    <xf numFmtId="49" fontId="39" fillId="6" borderId="21">
      <alignment horizontal="center" vertical="center" wrapText="1"/>
      <protection locked="0"/>
    </xf>
    <xf numFmtId="4" fontId="13" fillId="6" borderId="21">
      <alignment horizontal="right" vertical="center" wrapText="1"/>
      <protection locked="0"/>
    </xf>
    <xf numFmtId="4" fontId="13" fillId="6" borderId="21">
      <alignment horizontal="right" vertical="center" wrapText="1"/>
    </xf>
    <xf numFmtId="4" fontId="13" fillId="8" borderId="21">
      <alignment horizontal="right" vertical="center" wrapText="1"/>
    </xf>
    <xf numFmtId="4" fontId="13" fillId="12" borderId="21">
      <alignment horizontal="right" vertical="center" wrapText="1"/>
    </xf>
    <xf numFmtId="4" fontId="13" fillId="6" borderId="38">
      <alignment horizontal="right" vertical="center" wrapText="1"/>
    </xf>
    <xf numFmtId="4" fontId="13" fillId="13" borderId="46">
      <alignment horizontal="left" vertical="center" wrapText="1"/>
    </xf>
    <xf numFmtId="0" fontId="13" fillId="13" borderId="17">
      <alignment horizontal="left" vertical="center" wrapText="1"/>
    </xf>
    <xf numFmtId="4" fontId="13" fillId="12" borderId="16">
      <alignment horizontal="right" vertical="center" wrapText="1"/>
    </xf>
    <xf numFmtId="0" fontId="2" fillId="4" borderId="22">
      <alignment horizontal="center" vertical="center" wrapText="1"/>
    </xf>
    <xf numFmtId="0" fontId="2" fillId="4" borderId="35">
      <alignment horizontal="center" vertical="center" wrapText="1"/>
    </xf>
    <xf numFmtId="0" fontId="2" fillId="4" borderId="17">
      <alignment horizontal="center" vertical="center" wrapText="1"/>
    </xf>
    <xf numFmtId="0" fontId="2" fillId="4" borderId="42">
      <alignment horizontal="center" vertical="center" wrapText="1"/>
    </xf>
    <xf numFmtId="0" fontId="2" fillId="0" borderId="35" applyFill="0">
      <alignment horizontal="center" vertical="center" wrapText="1"/>
    </xf>
    <xf numFmtId="0" fontId="2" fillId="0" borderId="17" applyFill="0">
      <alignment horizontal="center" vertical="center" wrapText="1"/>
    </xf>
    <xf numFmtId="0" fontId="2" fillId="4" borderId="16">
      <alignment horizontal="center" vertical="center" wrapText="1"/>
    </xf>
    <xf numFmtId="0" fontId="2" fillId="0" borderId="47" applyFill="0">
      <alignment vertical="center" wrapText="1"/>
    </xf>
    <xf numFmtId="0" fontId="2" fillId="0" borderId="128" applyFill="0">
      <alignment horizontal="center" vertical="center" wrapText="1"/>
    </xf>
    <xf numFmtId="0" fontId="2" fillId="0" borderId="38" applyFill="0">
      <alignment horizontal="center" vertical="center" wrapText="1"/>
    </xf>
    <xf numFmtId="0" fontId="2" fillId="4" borderId="46">
      <alignment horizontal="center" vertical="center" wrapText="1"/>
    </xf>
    <xf numFmtId="0" fontId="2" fillId="4" borderId="47">
      <alignment horizontal="center" vertical="center" wrapText="1"/>
    </xf>
    <xf numFmtId="0" fontId="2" fillId="12" borderId="27">
      <alignment horizontal="center" vertical="center" wrapText="1"/>
    </xf>
    <xf numFmtId="0" fontId="2" fillId="12" borderId="42">
      <alignment horizontal="center" vertical="center" wrapText="1"/>
    </xf>
    <xf numFmtId="0" fontId="2" fillId="0" borderId="129" applyFill="0">
      <alignment horizontal="center" vertical="center" wrapText="1"/>
    </xf>
    <xf numFmtId="0" fontId="2" fillId="0" borderId="20" applyFill="0">
      <alignment horizontal="center" vertical="center" wrapText="1"/>
    </xf>
    <xf numFmtId="0" fontId="2" fillId="4" borderId="43">
      <alignment horizontal="center" vertical="center" wrapText="1"/>
    </xf>
    <xf numFmtId="0" fontId="2" fillId="4" borderId="21">
      <alignment horizontal="center" vertical="center" wrapText="1"/>
    </xf>
    <xf numFmtId="0" fontId="2" fillId="12" borderId="43">
      <alignment horizontal="center" vertical="center" wrapText="1"/>
    </xf>
    <xf numFmtId="49" fontId="3" fillId="0" borderId="129" applyFill="0">
      <alignment horizontal="center" vertical="center" wrapText="1"/>
    </xf>
    <xf numFmtId="49" fontId="3" fillId="0" borderId="46" applyFill="0">
      <alignment horizontal="center" vertical="center" wrapText="1"/>
    </xf>
    <xf numFmtId="49" fontId="3" fillId="0" borderId="130" applyFill="0">
      <alignment horizontal="center" vertical="center" wrapText="1"/>
    </xf>
    <xf numFmtId="0" fontId="2" fillId="0" borderId="46" applyFill="0">
      <alignment horizontal="center" vertical="center" wrapText="1"/>
    </xf>
    <xf numFmtId="0" fontId="29" fillId="13" borderId="19">
      <alignment horizontal="center" vertical="center" wrapText="1"/>
    </xf>
    <xf numFmtId="0" fontId="29" fillId="13" borderId="5">
      <alignment horizontal="center" vertical="center" wrapText="1"/>
    </xf>
    <xf numFmtId="0" fontId="29" fillId="13" borderId="5">
      <alignment horizontal="left" vertical="center" wrapText="1"/>
    </xf>
    <xf numFmtId="0" fontId="29" fillId="13" borderId="0" applyBorder="0">
      <alignment horizontal="left" vertical="center" wrapText="1"/>
    </xf>
    <xf numFmtId="4" fontId="13" fillId="12" borderId="37">
      <alignment horizontal="right" vertical="center" wrapText="1"/>
    </xf>
    <xf numFmtId="49" fontId="29" fillId="6" borderId="4">
      <alignment horizontal="left" vertical="center" wrapText="1"/>
      <protection locked="0"/>
    </xf>
    <xf numFmtId="49" fontId="29" fillId="6" borderId="4">
      <alignment horizontal="left" vertical="center" wrapText="1"/>
    </xf>
    <xf numFmtId="0" fontId="2" fillId="13" borderId="18">
      <alignment horizontal="left" vertical="center" wrapText="1"/>
    </xf>
    <xf numFmtId="49" fontId="2" fillId="6" borderId="19">
      <alignment horizontal="center" vertical="center" wrapText="1"/>
      <protection locked="0"/>
    </xf>
    <xf numFmtId="4" fontId="3" fillId="12" borderId="37">
      <alignment horizontal="right" vertical="center" wrapText="1"/>
    </xf>
    <xf numFmtId="49" fontId="2" fillId="0" borderId="16" applyFill="0">
      <alignment horizontal="center" vertical="center" wrapText="1"/>
    </xf>
    <xf numFmtId="49" fontId="2" fillId="3" borderId="16">
      <alignment horizontal="left" vertical="center" wrapText="1"/>
    </xf>
    <xf numFmtId="0" fontId="2" fillId="13" borderId="19">
      <alignment horizontal="left" vertical="center" wrapText="1"/>
    </xf>
    <xf numFmtId="0" fontId="2" fillId="13" borderId="5">
      <alignment horizontal="left" vertical="center" wrapText="1"/>
    </xf>
    <xf numFmtId="49" fontId="46" fillId="6" borderId="16">
      <alignment horizontal="center" vertical="center" wrapText="1"/>
    </xf>
    <xf numFmtId="4" fontId="3" fillId="6" borderId="20">
      <alignment horizontal="right" vertical="center" wrapText="1"/>
    </xf>
    <xf numFmtId="4" fontId="3" fillId="6" borderId="43">
      <alignment horizontal="right" vertical="center" wrapText="1"/>
    </xf>
    <xf numFmtId="10" fontId="3" fillId="3" borderId="16">
      <alignment horizontal="right" vertical="center" wrapText="1"/>
    </xf>
    <xf numFmtId="0" fontId="76" fillId="0" borderId="38" applyFill="0">
      <alignment vertical="top"/>
    </xf>
    <xf numFmtId="0" fontId="2" fillId="11" borderId="20">
      <alignment horizontal="center" vertical="center" wrapText="1"/>
    </xf>
    <xf numFmtId="0" fontId="2" fillId="11" borderId="0" applyBorder="0">
      <alignment horizontal="center" vertical="center" wrapText="1"/>
    </xf>
    <xf numFmtId="49" fontId="2" fillId="11" borderId="0" applyBorder="0">
      <alignment horizontal="left" vertical="center" wrapText="1"/>
    </xf>
    <xf numFmtId="0" fontId="2" fillId="11" borderId="18">
      <alignment horizontal="center" vertical="center" wrapText="1"/>
    </xf>
    <xf numFmtId="0" fontId="3" fillId="11" borderId="0" applyBorder="0">
      <alignment horizontal="right" vertical="center" wrapText="1"/>
    </xf>
    <xf numFmtId="4" fontId="3" fillId="11" borderId="4">
      <alignment horizontal="right" vertical="center" wrapText="1"/>
    </xf>
    <xf numFmtId="4" fontId="2" fillId="11" borderId="27">
      <alignment horizontal="right" vertical="center" wrapText="1"/>
    </xf>
    <xf numFmtId="49" fontId="2" fillId="6" borderId="28">
      <alignment horizontal="left" vertical="center" wrapText="1"/>
      <protection locked="0"/>
    </xf>
    <xf numFmtId="49" fontId="2" fillId="6" borderId="28">
      <alignment horizontal="left" vertical="center" wrapText="1"/>
    </xf>
    <xf numFmtId="49" fontId="2" fillId="11" borderId="18">
      <alignment horizontal="left" vertical="center" wrapText="1"/>
    </xf>
    <xf numFmtId="49" fontId="2" fillId="3" borderId="16">
      <alignment horizontal="left" vertical="center" wrapText="1"/>
      <protection locked="0"/>
    </xf>
    <xf numFmtId="49" fontId="46" fillId="6" borderId="16">
      <alignment horizontal="center" vertical="center" wrapText="1"/>
      <protection locked="0"/>
    </xf>
    <xf numFmtId="4" fontId="3" fillId="6" borderId="20">
      <alignment horizontal="right" vertical="center" wrapText="1"/>
      <protection locked="0"/>
    </xf>
    <xf numFmtId="10" fontId="3" fillId="3" borderId="16">
      <alignment horizontal="right" vertical="center" wrapText="1"/>
      <protection locked="0"/>
    </xf>
    <xf numFmtId="49" fontId="2" fillId="6" borderId="22">
      <alignment horizontal="left" vertical="center" wrapText="1"/>
      <protection locked="0"/>
    </xf>
    <xf numFmtId="0" fontId="29" fillId="13" borderId="17">
      <alignment horizontal="left" vertical="center" wrapText="1"/>
    </xf>
    <xf numFmtId="49" fontId="29" fillId="6" borderId="28">
      <alignment horizontal="left" vertical="center" wrapText="1"/>
      <protection locked="0"/>
    </xf>
    <xf numFmtId="49" fontId="29" fillId="6" borderId="28">
      <alignment horizontal="left" vertical="center" wrapText="1"/>
    </xf>
    <xf numFmtId="0" fontId="2" fillId="13" borderId="0" applyBorder="0">
      <alignment horizontal="left" vertical="center" wrapText="1"/>
    </xf>
    <xf numFmtId="0" fontId="2" fillId="13" borderId="17">
      <alignment horizontal="left" vertical="center" wrapText="1"/>
    </xf>
    <xf numFmtId="49" fontId="2" fillId="0" borderId="19" applyFill="0">
      <alignment horizontal="center" vertical="center" wrapText="1"/>
    </xf>
    <xf numFmtId="49" fontId="14" fillId="0" borderId="40" applyFill="0">
      <alignment horizontal="center" vertical="center" wrapText="1"/>
    </xf>
    <xf numFmtId="0" fontId="1" fillId="0" borderId="27" applyFill="0">
      <alignment horizontal="center" vertical="center" wrapText="1"/>
    </xf>
    <xf numFmtId="49" fontId="2" fillId="0" borderId="42" applyFill="0">
      <alignment horizontal="center" vertical="center" wrapText="1"/>
    </xf>
    <xf numFmtId="178" fontId="2" fillId="6" borderId="16">
      <alignment horizontal="right" vertical="center" wrapText="1"/>
    </xf>
    <xf numFmtId="49" fontId="2" fillId="6" borderId="19">
      <alignment horizontal="center" vertical="center" wrapText="1"/>
    </xf>
    <xf numFmtId="49" fontId="2" fillId="0" borderId="46" applyFill="0">
      <alignment horizontal="center" vertical="center" wrapText="1"/>
    </xf>
    <xf numFmtId="49" fontId="2" fillId="0" borderId="19" applyFill="0">
      <alignment horizontal="left" vertical="center" wrapText="1"/>
    </xf>
    <xf numFmtId="0" fontId="2" fillId="13" borderId="35">
      <alignment horizontal="left" vertical="center" wrapText="1"/>
    </xf>
    <xf numFmtId="0" fontId="2" fillId="13" borderId="42">
      <alignment horizontal="left" vertical="center" wrapText="1"/>
    </xf>
    <xf numFmtId="0" fontId="2" fillId="13" borderId="38">
      <alignment horizontal="left" vertical="center" wrapText="1"/>
    </xf>
    <xf numFmtId="0" fontId="2" fillId="13" borderId="46">
      <alignment horizontal="left" vertical="center" wrapText="1"/>
    </xf>
    <xf numFmtId="49" fontId="2" fillId="0" borderId="43" applyFill="0">
      <alignment horizontal="center" vertical="center" wrapText="1"/>
    </xf>
    <xf numFmtId="0" fontId="2" fillId="13" borderId="20">
      <alignment horizontal="left" vertical="center" wrapText="1"/>
    </xf>
    <xf numFmtId="0" fontId="2" fillId="13" borderId="43">
      <alignment horizontal="left" vertical="center" wrapText="1"/>
    </xf>
    <xf numFmtId="49" fontId="2" fillId="11" borderId="0" applyBorder="0">
      <alignment horizontal="center" vertical="center" wrapText="1"/>
    </xf>
    <xf numFmtId="0" fontId="3" fillId="11" borderId="18">
      <alignment horizontal="right" vertical="center" wrapText="1"/>
    </xf>
    <xf numFmtId="4" fontId="3" fillId="8" borderId="5">
      <alignment horizontal="right" vertical="center" wrapText="1"/>
    </xf>
    <xf numFmtId="49" fontId="2" fillId="11" borderId="20">
      <alignment horizontal="center" vertical="center" wrapText="1"/>
    </xf>
    <xf numFmtId="49" fontId="2" fillId="0" borderId="16" quotePrefix="1" applyFill="0">
      <alignment horizontal="center" vertical="center" wrapText="1"/>
    </xf>
    <xf numFmtId="178" fontId="2" fillId="6" borderId="16">
      <alignment horizontal="right" vertical="center" wrapText="1"/>
      <protection locked="0"/>
    </xf>
    <xf numFmtId="4" fontId="2" fillId="11" borderId="46">
      <alignment horizontal="right" vertical="center" wrapText="1"/>
    </xf>
    <xf numFmtId="49" fontId="2" fillId="6" borderId="27">
      <alignment horizontal="left" vertical="center" wrapText="1"/>
    </xf>
    <xf numFmtId="49" fontId="2" fillId="11" borderId="5">
      <alignment horizontal="left" vertical="center" wrapText="1"/>
    </xf>
    <xf numFmtId="0" fontId="2" fillId="11" borderId="5">
      <alignment horizontal="right" vertical="center" wrapText="1"/>
    </xf>
    <xf numFmtId="4" fontId="2" fillId="11" borderId="5">
      <alignment horizontal="right" vertical="center" wrapText="1"/>
    </xf>
    <xf numFmtId="4" fontId="2" fillId="11" borderId="37">
      <alignment horizontal="right" vertical="center" wrapText="1"/>
    </xf>
    <xf numFmtId="4" fontId="2" fillId="11" borderId="4">
      <alignment horizontal="right" vertical="center" wrapText="1"/>
    </xf>
    <xf numFmtId="0" fontId="2" fillId="0" borderId="3" applyFill="0">
      <alignment horizontal="left" vertical="center" wrapText="1"/>
    </xf>
    <xf numFmtId="0" fontId="2" fillId="0" borderId="1" applyFill="0">
      <alignment horizontal="left" vertical="center" wrapText="1"/>
    </xf>
    <xf numFmtId="0" fontId="1" fillId="0" borderId="11" applyFill="0">
      <alignment horizontal="center" vertical="center" wrapText="1"/>
    </xf>
    <xf numFmtId="0" fontId="1" fillId="0" borderId="13" applyFill="0">
      <alignment horizontal="center" vertical="center" wrapText="1"/>
    </xf>
    <xf numFmtId="0" fontId="1" fillId="0" borderId="1" applyFill="0">
      <alignment horizontal="center" vertical="center" wrapText="1"/>
    </xf>
    <xf numFmtId="0" fontId="1" fillId="0" borderId="2" applyFill="0">
      <alignment horizontal="center" vertical="center" wrapText="1"/>
    </xf>
    <xf numFmtId="0" fontId="1" fillId="0" borderId="3" applyFill="0">
      <alignment horizontal="center" vertical="center" wrapText="1"/>
    </xf>
    <xf numFmtId="0" fontId="1" fillId="0" borderId="14" applyFill="0">
      <alignment horizontal="center" vertical="center" wrapText="1"/>
    </xf>
    <xf numFmtId="0" fontId="1" fillId="0" borderId="82" applyFill="0">
      <alignment horizontal="center" vertical="center" wrapText="1"/>
    </xf>
    <xf numFmtId="0" fontId="13" fillId="0" borderId="1" applyFill="0">
      <alignment horizontal="left" vertical="center" wrapText="1"/>
    </xf>
    <xf numFmtId="0" fontId="13" fillId="0" borderId="3" applyFill="0">
      <alignment horizontal="left" vertical="center" wrapText="1"/>
    </xf>
    <xf numFmtId="4" fontId="13" fillId="8" borderId="4">
      <alignment horizontal="center" vertical="center" wrapText="1"/>
    </xf>
    <xf numFmtId="4" fontId="13" fillId="6" borderId="4">
      <alignment horizontal="center" vertical="center" wrapText="1"/>
      <protection locked="0"/>
    </xf>
    <xf numFmtId="0" fontId="1" fillId="0" borderId="1" applyFill="0">
      <alignment horizontal="left" vertical="center" wrapText="1"/>
    </xf>
    <xf numFmtId="0" fontId="1" fillId="0" borderId="3" applyFill="0">
      <alignment horizontal="left" vertical="center" wrapText="1"/>
    </xf>
    <xf numFmtId="4" fontId="1" fillId="8" borderId="4" quotePrefix="1">
      <alignment horizontal="center" vertical="center" wrapText="1"/>
    </xf>
    <xf numFmtId="4" fontId="1" fillId="8" borderId="4">
      <alignment horizontal="center" vertical="center" wrapText="1"/>
    </xf>
    <xf numFmtId="0" fontId="13" fillId="5" borderId="0" applyBorder="0">
      <alignment horizontal="left" vertical="center" wrapText="1"/>
    </xf>
    <xf numFmtId="49" fontId="13" fillId="0" borderId="4" applyFill="0">
      <alignment horizontal="left" vertical="center" wrapText="1"/>
    </xf>
    <xf numFmtId="1" fontId="76" fillId="0" borderId="0" applyFill="0" applyBorder="0">
      <alignment vertical="top" wrapText="1"/>
    </xf>
    <xf numFmtId="1" fontId="20" fillId="0" borderId="4" applyFill="0">
      <alignment horizontal="center" vertical="center" wrapText="1"/>
    </xf>
    <xf numFmtId="49" fontId="9" fillId="6" borderId="4">
      <alignment horizontal="center" vertical="center" wrapText="1"/>
    </xf>
    <xf numFmtId="49" fontId="9" fillId="3" borderId="4">
      <alignment horizontal="left" vertical="center" wrapText="1"/>
    </xf>
    <xf numFmtId="0" fontId="9" fillId="3" borderId="4">
      <alignment horizontal="left" vertical="center" wrapText="1"/>
    </xf>
    <xf numFmtId="3" fontId="3" fillId="6" borderId="65">
      <alignment horizontal="right" vertical="center" wrapText="1"/>
    </xf>
    <xf numFmtId="4" fontId="3" fillId="6" borderId="65">
      <alignment horizontal="right" vertical="center" wrapText="1"/>
    </xf>
    <xf numFmtId="4" fontId="7" fillId="8" borderId="4">
      <alignment horizontal="center" vertical="center" wrapText="1"/>
    </xf>
    <xf numFmtId="0" fontId="76" fillId="0" borderId="9" applyFill="0">
      <alignment horizontal="center" vertical="top"/>
    </xf>
    <xf numFmtId="49" fontId="9" fillId="6" borderId="4">
      <alignment horizontal="center" vertical="center" wrapText="1"/>
      <protection locked="0"/>
    </xf>
    <xf numFmtId="49" fontId="9" fillId="3" borderId="4">
      <alignment horizontal="left" vertical="center" wrapText="1"/>
      <protection locked="0"/>
    </xf>
    <xf numFmtId="0" fontId="9" fillId="3" borderId="4">
      <alignment horizontal="left" vertical="center" wrapText="1"/>
      <protection locked="0"/>
    </xf>
    <xf numFmtId="3" fontId="3" fillId="6" borderId="65">
      <alignment horizontal="right" vertical="center" wrapText="1"/>
      <protection locked="0"/>
    </xf>
    <xf numFmtId="4" fontId="3" fillId="6" borderId="65">
      <alignment horizontal="right" vertical="center" wrapText="1"/>
      <protection locked="0"/>
    </xf>
    <xf numFmtId="49" fontId="9" fillId="3" borderId="4">
      <alignment horizontal="left" vertical="center" wrapText="1"/>
      <protection locked="0"/>
    </xf>
    <xf numFmtId="0" fontId="9" fillId="3" borderId="4">
      <alignment horizontal="left" vertical="center" wrapText="1"/>
      <protection locked="0"/>
    </xf>
    <xf numFmtId="0" fontId="15" fillId="11" borderId="131">
      <alignment horizontal="left" vertical="center" wrapText="1"/>
    </xf>
    <xf numFmtId="0" fontId="15" fillId="11" borderId="132">
      <alignment horizontal="left" vertical="center" wrapText="1"/>
    </xf>
    <xf numFmtId="0" fontId="16" fillId="0" borderId="0" applyFill="0" applyBorder="0">
      <alignment vertical="center" wrapText="1"/>
    </xf>
    <xf numFmtId="0" fontId="15" fillId="11" borderId="133">
      <alignment horizontal="left" vertical="center" wrapText="1"/>
    </xf>
    <xf numFmtId="0" fontId="2" fillId="9" borderId="0" applyBorder="0">
      <alignment vertical="center" wrapText="1"/>
    </xf>
    <xf numFmtId="0" fontId="20" fillId="0" borderId="5" applyFill="0">
      <alignment horizontal="left" vertical="center" wrapText="1"/>
    </xf>
    <xf numFmtId="0" fontId="2" fillId="15" borderId="35">
      <alignment horizontal="center" vertical="center" wrapText="1"/>
    </xf>
    <xf numFmtId="0" fontId="2" fillId="15" borderId="17">
      <alignment horizontal="center" vertical="center" wrapText="1"/>
    </xf>
    <xf numFmtId="0" fontId="2" fillId="15" borderId="42">
      <alignment horizontal="center" vertical="center" wrapText="1"/>
    </xf>
    <xf numFmtId="0" fontId="2" fillId="4" borderId="37">
      <alignment horizontal="center" vertical="center" wrapText="1"/>
    </xf>
    <xf numFmtId="0" fontId="2" fillId="9" borderId="22">
      <alignment horizontal="center" vertical="center" wrapText="1"/>
    </xf>
    <xf numFmtId="0" fontId="2" fillId="15" borderId="19">
      <alignment horizontal="center" vertical="center" wrapText="1"/>
    </xf>
    <xf numFmtId="0" fontId="2" fillId="0" borderId="5" applyFill="0">
      <alignment horizontal="center" vertical="center" wrapText="1"/>
    </xf>
    <xf numFmtId="0" fontId="2" fillId="9" borderId="21">
      <alignment horizontal="center" vertical="center" wrapText="1"/>
    </xf>
    <xf numFmtId="0" fontId="29" fillId="9" borderId="0" applyBorder="0">
      <alignment vertical="center" wrapText="1"/>
    </xf>
    <xf numFmtId="0" fontId="29" fillId="9" borderId="0" applyBorder="0">
      <alignment horizontal="left" vertical="center" wrapText="1"/>
    </xf>
    <xf numFmtId="0" fontId="29" fillId="0" borderId="12" applyFill="0">
      <alignment horizontal="left" vertical="center" wrapText="1"/>
    </xf>
    <xf numFmtId="49" fontId="29" fillId="6" borderId="134">
      <alignment horizontal="left" vertical="center" wrapText="1"/>
      <protection locked="0"/>
    </xf>
    <xf numFmtId="4" fontId="29" fillId="8" borderId="11">
      <alignment horizontal="right" vertical="center" wrapText="1"/>
    </xf>
    <xf numFmtId="4" fontId="29" fillId="8" borderId="12">
      <alignment horizontal="right" vertical="center" wrapText="1"/>
    </xf>
    <xf numFmtId="4" fontId="29" fillId="12" borderId="11">
      <alignment horizontal="right" vertical="center" wrapText="1"/>
    </xf>
    <xf numFmtId="0" fontId="47" fillId="9" borderId="0" applyBorder="0">
      <alignment horizontal="right" vertical="center" wrapText="1"/>
    </xf>
    <xf numFmtId="0" fontId="47" fillId="9" borderId="0" applyBorder="0">
      <alignment horizontal="center" vertical="center" wrapText="1"/>
    </xf>
    <xf numFmtId="0" fontId="47" fillId="9" borderId="0" applyBorder="0">
      <alignment horizontal="left" vertical="center" wrapText="1"/>
    </xf>
    <xf numFmtId="0" fontId="2" fillId="0" borderId="12" applyFill="0">
      <alignment horizontal="left" vertical="center" wrapText="1"/>
    </xf>
    <xf numFmtId="49" fontId="2" fillId="6" borderId="134">
      <alignment horizontal="left" vertical="center" wrapText="1"/>
      <protection locked="0"/>
    </xf>
    <xf numFmtId="4" fontId="2" fillId="8" borderId="11">
      <alignment horizontal="right" vertical="center" wrapText="1"/>
    </xf>
    <xf numFmtId="4" fontId="2" fillId="8" borderId="12">
      <alignment horizontal="right" vertical="center" wrapText="1"/>
    </xf>
    <xf numFmtId="4" fontId="2" fillId="12" borderId="11">
      <alignment horizontal="right" vertical="center" wrapText="1"/>
    </xf>
    <xf numFmtId="0" fontId="2" fillId="0" borderId="4" quotePrefix="1" applyFill="0">
      <alignment horizontal="center" vertical="center" wrapText="1"/>
    </xf>
    <xf numFmtId="4" fontId="3" fillId="8" borderId="131">
      <alignment horizontal="right" vertical="center" wrapText="1"/>
    </xf>
    <xf numFmtId="4" fontId="3" fillId="8" borderId="132">
      <alignment horizontal="right" vertical="center" wrapText="1"/>
    </xf>
    <xf numFmtId="4" fontId="3" fillId="8" borderId="134">
      <alignment horizontal="right" vertical="center" wrapText="1"/>
    </xf>
    <xf numFmtId="4" fontId="3" fillId="12" borderId="134">
      <alignment horizontal="right" vertical="center" wrapText="1"/>
    </xf>
    <xf numFmtId="4" fontId="3" fillId="8" borderId="11">
      <alignment horizontal="right" vertical="center" wrapText="1"/>
    </xf>
    <xf numFmtId="0" fontId="2" fillId="0" borderId="36" quotePrefix="1" applyFill="0">
      <alignment horizontal="center" vertical="center" wrapText="1"/>
    </xf>
    <xf numFmtId="49" fontId="2" fillId="3" borderId="4">
      <alignment horizontal="left" vertical="center" wrapText="1"/>
    </xf>
    <xf numFmtId="49" fontId="2" fillId="6" borderId="132">
      <alignment horizontal="left" vertical="center" wrapText="1"/>
    </xf>
    <xf numFmtId="4" fontId="3" fillId="6" borderId="131">
      <alignment horizontal="right" vertical="center" wrapText="1"/>
    </xf>
    <xf numFmtId="4" fontId="3" fillId="6" borderId="132">
      <alignment horizontal="right" vertical="center" wrapText="1"/>
    </xf>
    <xf numFmtId="4" fontId="3" fillId="6" borderId="134">
      <alignment horizontal="right" vertical="center" wrapText="1"/>
    </xf>
    <xf numFmtId="10" fontId="3" fillId="6" borderId="134">
      <alignment horizontal="right" vertical="center" wrapText="1"/>
    </xf>
    <xf numFmtId="10" fontId="3" fillId="3" borderId="134">
      <alignment horizontal="right" vertical="center" wrapText="1"/>
    </xf>
    <xf numFmtId="49" fontId="2" fillId="3" borderId="4">
      <alignment horizontal="left" vertical="center" wrapText="1"/>
      <protection locked="0"/>
    </xf>
    <xf numFmtId="49" fontId="2" fillId="6" borderId="132">
      <alignment horizontal="left" vertical="center" wrapText="1"/>
      <protection locked="0"/>
    </xf>
    <xf numFmtId="4" fontId="3" fillId="6" borderId="131">
      <alignment horizontal="right" vertical="center" wrapText="1"/>
      <protection locked="0"/>
    </xf>
    <xf numFmtId="4" fontId="3" fillId="6" borderId="134">
      <alignment horizontal="right" vertical="center" wrapText="1"/>
      <protection locked="0"/>
    </xf>
    <xf numFmtId="10" fontId="3" fillId="3" borderId="134">
      <alignment horizontal="right" vertical="center" wrapText="1"/>
      <protection locked="0"/>
    </xf>
    <xf numFmtId="0" fontId="2" fillId="9" borderId="0" applyBorder="0">
      <alignment horizontal="right" vertical="center" wrapText="1"/>
    </xf>
    <xf numFmtId="0" fontId="2" fillId="11" borderId="5">
      <alignment vertical="center" wrapText="1"/>
    </xf>
    <xf numFmtId="4" fontId="3" fillId="11" borderId="17">
      <alignment vertical="center" wrapText="1"/>
    </xf>
    <xf numFmtId="4" fontId="3" fillId="11" borderId="5">
      <alignment vertical="center" wrapText="1"/>
    </xf>
    <xf numFmtId="4" fontId="3" fillId="11" borderId="37">
      <alignment vertical="center" wrapText="1"/>
    </xf>
    <xf numFmtId="4" fontId="2" fillId="11" borderId="4">
      <alignment vertical="center" wrapText="1"/>
    </xf>
    <xf numFmtId="0" fontId="2" fillId="0" borderId="14" quotePrefix="1" applyFill="0">
      <alignment horizontal="center" vertical="center" wrapText="1"/>
    </xf>
    <xf numFmtId="4" fontId="3" fillId="8" borderId="135">
      <alignment horizontal="right" vertical="center" wrapText="1"/>
    </xf>
    <xf numFmtId="4" fontId="3" fillId="12" borderId="135">
      <alignment horizontal="right" vertical="center" wrapText="1"/>
    </xf>
    <xf numFmtId="4" fontId="3" fillId="6" borderId="48">
      <alignment horizontal="right" vertical="center" wrapText="1"/>
    </xf>
    <xf numFmtId="4" fontId="3" fillId="6" borderId="136">
      <alignment horizontal="right" vertical="center" wrapText="1"/>
    </xf>
    <xf numFmtId="4" fontId="3" fillId="6" borderId="48">
      <alignment horizontal="right" vertical="center" wrapText="1"/>
      <protection locked="0"/>
    </xf>
    <xf numFmtId="0" fontId="48" fillId="9" borderId="0" applyBorder="0">
      <alignment horizontal="right" vertical="center" wrapText="1"/>
    </xf>
    <xf numFmtId="49" fontId="2" fillId="0" borderId="134" applyFill="0">
      <alignment horizontal="left" vertical="center" wrapText="1"/>
    </xf>
    <xf numFmtId="4" fontId="2" fillId="0" borderId="4" applyFill="0">
      <alignment horizontal="right" vertical="center" wrapText="1"/>
    </xf>
    <xf numFmtId="4" fontId="3" fillId="0" borderId="36" applyFill="0">
      <alignment horizontal="right" vertical="center" wrapText="1"/>
    </xf>
    <xf numFmtId="4" fontId="3" fillId="0" borderId="134" applyFill="0">
      <alignment horizontal="right" vertical="center" wrapText="1"/>
    </xf>
    <xf numFmtId="0" fontId="3" fillId="0" borderId="38" applyFill="0">
      <alignment vertical="center" wrapText="1"/>
    </xf>
    <xf numFmtId="0" fontId="2" fillId="11" borderId="17">
      <alignment horizontal="left" vertical="center" wrapText="1"/>
    </xf>
    <xf numFmtId="49" fontId="2" fillId="11" borderId="2">
      <alignment horizontal="left" vertical="center" wrapText="1"/>
    </xf>
    <xf numFmtId="0" fontId="2" fillId="11" borderId="2">
      <alignment vertical="center" wrapText="1"/>
    </xf>
    <xf numFmtId="4" fontId="3" fillId="11" borderId="2">
      <alignment vertical="center" wrapText="1"/>
    </xf>
    <xf numFmtId="4" fontId="3" fillId="11" borderId="3">
      <alignment vertical="center" wrapText="1"/>
    </xf>
    <xf numFmtId="0" fontId="49" fillId="9" borderId="0" applyBorder="0">
      <alignment horizontal="center" vertical="center" wrapText="1"/>
    </xf>
    <xf numFmtId="0" fontId="29" fillId="0" borderId="4" quotePrefix="1" applyFill="0">
      <alignment horizontal="center" vertical="center" wrapText="1"/>
    </xf>
    <xf numFmtId="4" fontId="13" fillId="8" borderId="11">
      <alignment horizontal="right" vertical="center" wrapText="1"/>
    </xf>
    <xf numFmtId="4" fontId="13" fillId="8" borderId="12">
      <alignment horizontal="right" vertical="center" wrapText="1"/>
    </xf>
    <xf numFmtId="4" fontId="13" fillId="12" borderId="11">
      <alignment horizontal="right" vertical="center" wrapText="1"/>
    </xf>
    <xf numFmtId="49" fontId="2" fillId="0" borderId="4" quotePrefix="1" applyFill="0">
      <alignment horizontal="center" vertical="center" wrapText="1"/>
    </xf>
    <xf numFmtId="0" fontId="2" fillId="9" borderId="0" applyBorder="0">
      <alignment horizontal="left" vertical="center" wrapText="1"/>
    </xf>
    <xf numFmtId="4" fontId="2" fillId="11" borderId="5">
      <alignment vertical="center" wrapText="1"/>
    </xf>
    <xf numFmtId="4" fontId="2" fillId="11" borderId="37">
      <alignment vertical="center" wrapText="1"/>
    </xf>
    <xf numFmtId="0" fontId="12" fillId="0" borderId="0" applyFill="0" applyBorder="0">
      <alignment horizontal="right" vertical="center"/>
    </xf>
    <xf numFmtId="0" fontId="76" fillId="0" borderId="47" applyFill="0">
      <alignment vertical="top"/>
    </xf>
    <xf numFmtId="49" fontId="3" fillId="10" borderId="22">
      <alignment horizontal="center" vertical="center" wrapText="1"/>
    </xf>
    <xf numFmtId="49" fontId="14" fillId="0" borderId="22" applyFill="0">
      <alignment horizontal="center" vertical="center" wrapText="1"/>
    </xf>
    <xf numFmtId="0" fontId="76" fillId="0" borderId="0" applyFill="0" applyBorder="0">
      <alignment horizontal="center" vertical="center"/>
    </xf>
    <xf numFmtId="49" fontId="3" fillId="6" borderId="4">
      <alignment vertical="center" wrapText="1"/>
    </xf>
    <xf numFmtId="49" fontId="3" fillId="10" borderId="47">
      <alignment horizontal="center" vertical="center" wrapText="1"/>
    </xf>
    <xf numFmtId="49" fontId="14" fillId="0" borderId="47" applyFill="0">
      <alignment horizontal="center" vertical="center" wrapText="1"/>
    </xf>
    <xf numFmtId="4" fontId="3" fillId="4" borderId="5">
      <alignment horizontal="right" vertical="center" wrapText="1"/>
    </xf>
    <xf numFmtId="49" fontId="3" fillId="10" borderId="21">
      <alignment horizontal="center" vertical="center" wrapText="1"/>
    </xf>
    <xf numFmtId="49" fontId="14" fillId="0" borderId="21" applyFill="0">
      <alignment horizontal="center" vertical="center" wrapText="1"/>
    </xf>
    <xf numFmtId="49" fontId="14" fillId="0" borderId="137" applyFill="0">
      <alignment horizontal="center" vertical="center" wrapText="1"/>
    </xf>
    <xf numFmtId="0" fontId="76" fillId="0" borderId="64" applyFill="0">
      <alignment horizontal="center" vertical="center"/>
    </xf>
    <xf numFmtId="49" fontId="3" fillId="3" borderId="37">
      <alignment horizontal="left" vertical="center" wrapText="1"/>
    </xf>
    <xf numFmtId="49" fontId="14" fillId="0" borderId="138" applyFill="0">
      <alignment horizontal="center" vertical="center" wrapText="1"/>
    </xf>
    <xf numFmtId="0" fontId="76" fillId="0" borderId="30" applyFill="0">
      <alignment vertical="top"/>
    </xf>
    <xf numFmtId="49" fontId="3" fillId="0" borderId="43" applyFill="0">
      <alignment horizontal="left" vertical="center" wrapText="1"/>
    </xf>
    <xf numFmtId="49" fontId="14" fillId="0" borderId="139" applyFill="0">
      <alignment horizontal="center" vertical="center" wrapText="1"/>
    </xf>
    <xf numFmtId="0" fontId="76" fillId="0" borderId="29" applyFill="0">
      <alignment vertical="top"/>
    </xf>
    <xf numFmtId="0" fontId="2" fillId="0" borderId="18" applyFill="0">
      <alignment horizontal="center" vertical="center" wrapText="1"/>
    </xf>
    <xf numFmtId="0" fontId="2" fillId="15" borderId="21">
      <alignment horizontal="center" vertical="center" wrapText="1"/>
    </xf>
    <xf numFmtId="49" fontId="1" fillId="0" borderId="0" applyFill="0" applyBorder="0">
      <alignment vertical="center" wrapText="1"/>
    </xf>
    <xf numFmtId="49" fontId="2" fillId="10" borderId="20">
      <alignment horizontal="left" vertical="center" wrapText="1"/>
    </xf>
    <xf numFmtId="49" fontId="2" fillId="10" borderId="18">
      <alignment horizontal="left" vertical="center" wrapText="1"/>
    </xf>
    <xf numFmtId="49" fontId="2" fillId="10" borderId="43">
      <alignment horizontal="left" vertical="center" wrapText="1"/>
    </xf>
    <xf numFmtId="0" fontId="2" fillId="10" borderId="19">
      <alignment horizontal="left" vertical="center" wrapText="1"/>
    </xf>
    <xf numFmtId="0" fontId="2" fillId="10" borderId="5">
      <alignment horizontal="left" vertical="center" wrapText="1"/>
    </xf>
    <xf numFmtId="0" fontId="2" fillId="10" borderId="37">
      <alignment horizontal="left" vertical="center" wrapText="1"/>
    </xf>
    <xf numFmtId="10" fontId="2" fillId="6" borderId="16">
      <alignment horizontal="right" vertical="center" wrapText="1"/>
      <protection locked="0"/>
    </xf>
    <xf numFmtId="0" fontId="2" fillId="0" borderId="37" applyFill="0">
      <alignment horizontal="left" vertical="center" wrapText="1"/>
    </xf>
    <xf numFmtId="0" fontId="2" fillId="4" borderId="5">
      <alignment horizontal="center" vertical="center" wrapText="1"/>
    </xf>
    <xf numFmtId="4" fontId="2" fillId="4" borderId="5">
      <alignment horizontal="right" vertical="center" wrapText="1"/>
    </xf>
    <xf numFmtId="0" fontId="50" fillId="0" borderId="35" applyFill="0">
      <alignment horizontal="center" vertical="center" wrapText="1"/>
    </xf>
    <xf numFmtId="0" fontId="2" fillId="0" borderId="17" applyFill="0">
      <alignment horizontal="left" vertical="center" wrapText="1"/>
    </xf>
    <xf numFmtId="4" fontId="2" fillId="0" borderId="18" applyFill="0">
      <alignment horizontal="right" vertical="center" wrapText="1"/>
    </xf>
    <xf numFmtId="49" fontId="3" fillId="10" borderId="25">
      <alignment horizontal="center" vertical="center" wrapText="1"/>
    </xf>
    <xf numFmtId="49" fontId="7" fillId="3" borderId="27" quotePrefix="1">
      <alignment horizontal="center" vertical="center" textRotation="90" wrapText="1"/>
    </xf>
    <xf numFmtId="49" fontId="3" fillId="4" borderId="5">
      <alignment horizontal="center" vertical="center" wrapText="1"/>
    </xf>
    <xf numFmtId="49" fontId="3" fillId="4" borderId="5">
      <alignment horizontal="left" vertical="center" wrapText="1"/>
    </xf>
    <xf numFmtId="49" fontId="3" fillId="4" borderId="17">
      <alignment horizontal="left" vertical="center" wrapText="1"/>
    </xf>
    <xf numFmtId="0" fontId="3" fillId="0" borderId="140" applyFill="0">
      <alignment horizontal="right" vertical="center" wrapText="1"/>
    </xf>
    <xf numFmtId="4" fontId="18" fillId="11" borderId="4">
      <alignment horizontal="right" vertical="center" wrapText="1"/>
    </xf>
    <xf numFmtId="0" fontId="3" fillId="0" borderId="0" applyFill="0" applyBorder="0">
      <alignment horizontal="left" vertical="top"/>
    </xf>
    <xf numFmtId="49" fontId="18" fillId="11" borderId="5">
      <alignment horizontal="left" vertical="center" wrapText="1"/>
    </xf>
    <xf numFmtId="49" fontId="15" fillId="11" borderId="5">
      <alignment vertical="center" wrapText="1"/>
    </xf>
    <xf numFmtId="4" fontId="15" fillId="11" borderId="5">
      <alignment horizontal="left" vertical="center" wrapText="1"/>
    </xf>
    <xf numFmtId="4" fontId="18" fillId="11" borderId="5">
      <alignment horizontal="right" vertical="center" wrapText="1"/>
    </xf>
    <xf numFmtId="49" fontId="18" fillId="11" borderId="18">
      <alignment horizontal="left" vertical="center" wrapText="1"/>
    </xf>
    <xf numFmtId="49" fontId="7" fillId="3" borderId="27">
      <alignment horizontal="center" vertical="center" textRotation="90" wrapText="1"/>
      <protection locked="0"/>
    </xf>
    <xf numFmtId="49" fontId="7" fillId="3" borderId="27">
      <alignment horizontal="center" vertical="center" textRotation="90" wrapText="1"/>
    </xf>
    <xf numFmtId="49" fontId="3" fillId="3" borderId="16">
      <alignment horizontal="left" vertical="center" wrapText="1"/>
      <protection locked="0"/>
    </xf>
    <xf numFmtId="0" fontId="2" fillId="11" borderId="19">
      <alignment horizontal="left" vertical="center" wrapText="1"/>
    </xf>
    <xf numFmtId="0" fontId="2" fillId="11" borderId="5">
      <alignment horizontal="left" vertical="center" wrapText="1"/>
    </xf>
    <xf numFmtId="0" fontId="2" fillId="16" borderId="16">
      <alignment horizontal="left" vertical="center" wrapText="1"/>
    </xf>
    <xf numFmtId="0" fontId="2" fillId="16" borderId="16">
      <alignment horizontal="center" vertical="center" wrapText="1"/>
    </xf>
    <xf numFmtId="4" fontId="2" fillId="6" borderId="16">
      <alignment vertical="center" wrapText="1"/>
      <protection locked="0"/>
    </xf>
    <xf numFmtId="4" fontId="2" fillId="6" borderId="16">
      <alignment vertical="center" wrapText="1"/>
    </xf>
    <xf numFmtId="4" fontId="2" fillId="8" borderId="42">
      <alignment horizontal="right" vertical="center" wrapText="1"/>
    </xf>
    <xf numFmtId="0" fontId="2" fillId="10" borderId="16">
      <alignment horizontal="left" vertical="center" wrapText="1"/>
    </xf>
    <xf numFmtId="10" fontId="2" fillId="6" borderId="16">
      <alignment vertical="center" wrapText="1"/>
      <protection locked="0"/>
    </xf>
    <xf numFmtId="10" fontId="2" fillId="6" borderId="16">
      <alignment vertical="center" wrapText="1"/>
    </xf>
    <xf numFmtId="4" fontId="2" fillId="8" borderId="27">
      <alignment horizontal="right" vertical="center" wrapText="1"/>
    </xf>
    <xf numFmtId="49" fontId="1" fillId="0" borderId="0" applyFill="0" applyBorder="0">
      <alignment horizontal="center" vertical="center" wrapText="1"/>
    </xf>
    <xf numFmtId="49" fontId="14" fillId="0" borderId="46" applyFill="0">
      <alignment horizontal="center" vertical="center" wrapText="1"/>
    </xf>
    <xf numFmtId="49" fontId="1" fillId="0" borderId="19" applyFill="0">
      <alignment horizontal="center" vertical="center" wrapText="1"/>
    </xf>
    <xf numFmtId="4" fontId="1" fillId="8" borderId="27">
      <alignment horizontal="right" vertical="center" wrapText="1"/>
    </xf>
    <xf numFmtId="4" fontId="1" fillId="8" borderId="37">
      <alignment horizontal="right" vertical="center" wrapText="1"/>
    </xf>
    <xf numFmtId="4" fontId="1" fillId="6" borderId="16">
      <alignment horizontal="right" vertical="center" wrapText="1"/>
    </xf>
    <xf numFmtId="4" fontId="1" fillId="6" borderId="37">
      <alignment horizontal="right" vertical="center" wrapText="1"/>
    </xf>
    <xf numFmtId="4" fontId="1" fillId="8" borderId="64">
      <alignment horizontal="right" vertical="center" wrapText="1"/>
    </xf>
    <xf numFmtId="4" fontId="1" fillId="6" borderId="27">
      <alignment horizontal="right" vertical="center" wrapText="1"/>
    </xf>
    <xf numFmtId="4" fontId="1" fillId="8" borderId="30">
      <alignment horizontal="right" vertical="center" wrapText="1"/>
    </xf>
    <xf numFmtId="4" fontId="1" fillId="8" borderId="29">
      <alignment horizontal="right" vertical="center" wrapText="1"/>
    </xf>
    <xf numFmtId="4" fontId="1" fillId="6" borderId="43">
      <alignment horizontal="right" vertical="center" wrapText="1"/>
    </xf>
    <xf numFmtId="4" fontId="1" fillId="6" borderId="21">
      <alignment horizontal="right" vertical="center" wrapText="1"/>
    </xf>
    <xf numFmtId="0" fontId="15" fillId="11" borderId="5">
      <alignment vertical="center" wrapText="1"/>
    </xf>
    <xf numFmtId="4" fontId="2" fillId="11" borderId="18">
      <alignment horizontal="right" vertical="center" wrapText="1"/>
    </xf>
    <xf numFmtId="0" fontId="26" fillId="9" borderId="0" applyBorder="0">
      <alignment vertical="center" wrapText="1"/>
    </xf>
    <xf numFmtId="0" fontId="26" fillId="9" borderId="0" applyBorder="0">
      <alignment horizontal="center" vertical="center" wrapText="1"/>
    </xf>
    <xf numFmtId="0" fontId="7" fillId="0" borderId="3" applyFill="0">
      <alignment horizontal="left" vertical="center" wrapText="1"/>
    </xf>
    <xf numFmtId="0" fontId="11" fillId="0" borderId="9" applyFill="0">
      <alignment vertical="center" wrapText="1"/>
    </xf>
    <xf numFmtId="0" fontId="3" fillId="4" borderId="36">
      <alignment horizontal="center" vertical="center" wrapText="1"/>
    </xf>
    <xf numFmtId="0" fontId="3" fillId="4" borderId="22">
      <alignment horizontal="center" vertical="center" wrapText="1"/>
    </xf>
    <xf numFmtId="0" fontId="3" fillId="4" borderId="38">
      <alignment horizontal="center" vertical="center" wrapText="1"/>
    </xf>
    <xf numFmtId="0" fontId="3" fillId="4" borderId="0" applyBorder="0">
      <alignment horizontal="center" vertical="center" wrapText="1"/>
    </xf>
    <xf numFmtId="0" fontId="3" fillId="4" borderId="54">
      <alignment horizontal="center" vertical="center" wrapText="1"/>
    </xf>
    <xf numFmtId="0" fontId="3" fillId="4" borderId="28">
      <alignment horizontal="center" vertical="center" wrapText="1"/>
    </xf>
    <xf numFmtId="0" fontId="3" fillId="4" borderId="35">
      <alignment horizontal="center" vertical="center" wrapText="1"/>
    </xf>
    <xf numFmtId="0" fontId="3" fillId="4" borderId="141">
      <alignment vertical="center" wrapText="1"/>
    </xf>
    <xf numFmtId="0" fontId="3" fillId="0" borderId="141" applyFill="0">
      <alignment horizontal="center" vertical="center" wrapText="1"/>
    </xf>
    <xf numFmtId="0" fontId="3" fillId="13" borderId="42">
      <alignment horizontal="left" vertical="center" wrapText="1"/>
    </xf>
    <xf numFmtId="0" fontId="3" fillId="13" borderId="47">
      <alignment horizontal="left" vertical="center" wrapText="1"/>
    </xf>
    <xf numFmtId="0" fontId="3" fillId="6" borderId="4">
      <alignment horizontal="left" vertical="center" wrapText="1"/>
    </xf>
    <xf numFmtId="0" fontId="3" fillId="4" borderId="53">
      <alignment horizontal="center" vertical="center" wrapText="1"/>
    </xf>
    <xf numFmtId="0" fontId="3" fillId="13" borderId="46">
      <alignment horizontal="left" vertical="center" wrapText="1"/>
    </xf>
    <xf numFmtId="10" fontId="3" fillId="13" borderId="46">
      <alignment horizontal="left" vertical="center" wrapText="1"/>
    </xf>
    <xf numFmtId="0" fontId="3" fillId="0" borderId="142" applyFill="0">
      <alignment horizontal="center" vertical="center" wrapText="1"/>
    </xf>
    <xf numFmtId="0" fontId="3" fillId="0" borderId="12" applyFill="0">
      <alignment horizontal="left" vertical="center" wrapText="1"/>
    </xf>
    <xf numFmtId="0" fontId="3" fillId="0" borderId="143" applyFill="0">
      <alignment horizontal="center" vertical="center" wrapText="1"/>
    </xf>
    <xf numFmtId="0" fontId="3" fillId="0" borderId="144" applyFill="0">
      <alignment horizontal="center" vertical="center" wrapText="1"/>
    </xf>
    <xf numFmtId="4" fontId="3" fillId="6" borderId="16">
      <alignment vertical="center" wrapText="1"/>
      <protection locked="0"/>
    </xf>
    <xf numFmtId="4" fontId="3" fillId="6" borderId="16">
      <alignment vertical="center" wrapText="1"/>
    </xf>
    <xf numFmtId="4" fontId="3" fillId="6" borderId="22">
      <alignment vertical="center" wrapText="1"/>
      <protection locked="0"/>
    </xf>
    <xf numFmtId="4" fontId="3" fillId="6" borderId="22">
      <alignment vertical="center" wrapText="1"/>
    </xf>
    <xf numFmtId="0" fontId="3" fillId="13" borderId="27">
      <alignment horizontal="left" vertical="center" wrapText="1"/>
    </xf>
    <xf numFmtId="49" fontId="3" fillId="6" borderId="145">
      <alignment horizontal="left" vertical="center" wrapText="1"/>
    </xf>
    <xf numFmtId="0" fontId="3" fillId="6" borderId="36">
      <alignment horizontal="left" vertical="center" wrapText="1"/>
    </xf>
    <xf numFmtId="4" fontId="3" fillId="6" borderId="27">
      <alignment vertical="center" wrapText="1"/>
    </xf>
    <xf numFmtId="49" fontId="3" fillId="6" borderId="145">
      <alignment horizontal="left" vertical="center" wrapText="1"/>
      <protection locked="0"/>
    </xf>
    <xf numFmtId="4" fontId="3" fillId="6" borderId="27">
      <alignment vertical="center" wrapText="1"/>
      <protection locked="0"/>
    </xf>
    <xf numFmtId="0" fontId="1" fillId="11" borderId="20">
      <alignment horizontal="center" vertical="center" wrapText="1"/>
    </xf>
    <xf numFmtId="0" fontId="1" fillId="11" borderId="18">
      <alignment vertical="center" wrapText="1"/>
    </xf>
    <xf numFmtId="0" fontId="3" fillId="11" borderId="18">
      <alignment vertical="center" wrapText="1"/>
    </xf>
    <xf numFmtId="0" fontId="3" fillId="11" borderId="43">
      <alignment vertical="center" wrapText="1"/>
    </xf>
    <xf numFmtId="0" fontId="1" fillId="11" borderId="27">
      <alignment vertical="center" wrapText="1"/>
    </xf>
    <xf numFmtId="0" fontId="13" fillId="4" borderId="9">
      <alignment vertical="center" wrapText="1"/>
    </xf>
    <xf numFmtId="4" fontId="3" fillId="6" borderId="9">
      <alignment horizontal="right" vertical="center" wrapText="1"/>
      <protection locked="0"/>
    </xf>
    <xf numFmtId="4" fontId="3" fillId="6" borderId="9">
      <alignment horizontal="right" vertical="center" wrapText="1"/>
    </xf>
    <xf numFmtId="4" fontId="13" fillId="8" borderId="0" applyBorder="0">
      <alignment horizontal="right" vertical="center" wrapText="1"/>
    </xf>
    <xf numFmtId="4" fontId="3" fillId="6" borderId="55">
      <alignment horizontal="right" vertical="center" wrapText="1"/>
      <protection locked="0"/>
    </xf>
    <xf numFmtId="4" fontId="3" fillId="6" borderId="55">
      <alignment horizontal="right" vertical="center" wrapText="1"/>
    </xf>
    <xf numFmtId="49" fontId="13" fillId="6" borderId="28">
      <alignment horizontal="left" vertical="center" wrapText="1"/>
      <protection locked="0"/>
    </xf>
    <xf numFmtId="0" fontId="3" fillId="4" borderId="11">
      <alignment horizontal="left" vertical="center" wrapText="1"/>
    </xf>
    <xf numFmtId="0" fontId="3" fillId="0" borderId="131" applyFill="0">
      <alignment horizontal="center" vertical="center" wrapText="1"/>
    </xf>
    <xf numFmtId="4" fontId="3" fillId="6" borderId="11">
      <alignment horizontal="right" vertical="center" wrapText="1"/>
      <protection locked="0"/>
    </xf>
    <xf numFmtId="4" fontId="3" fillId="6" borderId="11">
      <alignment horizontal="right" vertical="center" wrapText="1"/>
    </xf>
    <xf numFmtId="4" fontId="3" fillId="6" borderId="146">
      <alignment horizontal="right" vertical="center" wrapText="1"/>
      <protection locked="0"/>
    </xf>
    <xf numFmtId="4" fontId="3" fillId="6" borderId="146">
      <alignment horizontal="right" vertical="center" wrapText="1"/>
    </xf>
    <xf numFmtId="4" fontId="3" fillId="6" borderId="51">
      <alignment horizontal="right" vertical="center" wrapText="1"/>
      <protection locked="0"/>
    </xf>
    <xf numFmtId="4" fontId="3" fillId="6" borderId="51">
      <alignment horizontal="right" vertical="center" wrapText="1"/>
    </xf>
    <xf numFmtId="4" fontId="3" fillId="6" borderId="12">
      <alignment horizontal="right" vertical="center" wrapText="1"/>
    </xf>
    <xf numFmtId="0" fontId="13" fillId="9" borderId="0" applyBorder="0">
      <alignment horizontal="center" vertical="center" wrapText="1"/>
    </xf>
    <xf numFmtId="0" fontId="3" fillId="0" borderId="147" applyFill="0">
      <alignment horizontal="center" vertical="center" wrapText="1"/>
    </xf>
    <xf numFmtId="0" fontId="3" fillId="0" borderId="131" applyFill="0">
      <alignment horizontal="left" vertical="center" wrapText="1"/>
    </xf>
    <xf numFmtId="4" fontId="3" fillId="6" borderId="148">
      <alignment horizontal="right" vertical="center" wrapText="1"/>
      <protection locked="0"/>
    </xf>
    <xf numFmtId="4" fontId="3" fillId="6" borderId="148">
      <alignment horizontal="right" vertical="center" wrapText="1"/>
    </xf>
    <xf numFmtId="0" fontId="3" fillId="9" borderId="0" applyBorder="0">
      <alignment horizontal="left" vertical="center" wrapText="1"/>
    </xf>
    <xf numFmtId="0" fontId="3" fillId="0" borderId="0" applyFill="0" applyBorder="0">
      <alignment vertical="center"/>
    </xf>
    <xf numFmtId="0" fontId="2" fillId="4" borderId="1">
      <alignment horizontal="center" vertical="center" wrapText="1"/>
    </xf>
    <xf numFmtId="0" fontId="2" fillId="4" borderId="3">
      <alignment horizontal="center" vertical="center" wrapText="1"/>
    </xf>
    <xf numFmtId="0" fontId="2" fillId="10" borderId="0" applyBorder="0">
      <alignment horizontal="left" vertical="center" wrapText="1"/>
    </xf>
    <xf numFmtId="0" fontId="13" fillId="13" borderId="17">
      <alignment horizontal="center" vertical="center" wrapText="1"/>
    </xf>
    <xf numFmtId="0" fontId="13" fillId="13" borderId="27">
      <alignment horizontal="left" vertical="center" wrapText="1"/>
    </xf>
    <xf numFmtId="0" fontId="3" fillId="10" borderId="16">
      <alignment horizontal="left" vertical="center" wrapText="1"/>
    </xf>
    <xf numFmtId="0" fontId="1" fillId="10" borderId="22">
      <alignment horizontal="center" vertical="center"/>
    </xf>
    <xf numFmtId="0" fontId="3" fillId="10" borderId="22">
      <alignment horizontal="center" vertical="center" wrapText="1"/>
    </xf>
    <xf numFmtId="0" fontId="2" fillId="6" borderId="21">
      <alignment horizontal="right" vertical="center" wrapText="1"/>
      <protection locked="0"/>
    </xf>
    <xf numFmtId="0" fontId="2" fillId="6" borderId="21">
      <alignment horizontal="right" vertical="center" wrapText="1"/>
    </xf>
    <xf numFmtId="0" fontId="1" fillId="10" borderId="47">
      <alignment horizontal="center" vertical="center"/>
    </xf>
    <xf numFmtId="0" fontId="3" fillId="10" borderId="47">
      <alignment horizontal="center" vertical="center" wrapText="1"/>
    </xf>
    <xf numFmtId="0" fontId="2" fillId="6" borderId="16">
      <alignment horizontal="right" vertical="center" wrapText="1"/>
      <protection locked="0"/>
    </xf>
    <xf numFmtId="0" fontId="2" fillId="6" borderId="16">
      <alignment horizontal="right" vertical="center" wrapText="1"/>
    </xf>
    <xf numFmtId="0" fontId="1" fillId="10" borderId="21">
      <alignment horizontal="center" vertical="center"/>
    </xf>
    <xf numFmtId="0" fontId="3" fillId="10" borderId="21">
      <alignment horizontal="center" vertical="center" wrapText="1"/>
    </xf>
    <xf numFmtId="49" fontId="3" fillId="10" borderId="16">
      <alignment horizontal="center" vertical="center" wrapText="1"/>
    </xf>
    <xf numFmtId="0" fontId="1" fillId="10" borderId="16">
      <alignment horizontal="center" vertical="center"/>
    </xf>
    <xf numFmtId="3" fontId="2" fillId="6" borderId="16">
      <alignment horizontal="right" vertical="center" wrapText="1"/>
      <protection locked="0"/>
    </xf>
    <xf numFmtId="3" fontId="2" fillId="6" borderId="16">
      <alignment horizontal="right" vertical="center" wrapText="1"/>
    </xf>
    <xf numFmtId="49" fontId="3" fillId="0" borderId="4" quotePrefix="1" applyFill="0">
      <alignment horizontal="center" vertical="center" wrapText="1"/>
    </xf>
    <xf numFmtId="49" fontId="3" fillId="3" borderId="36">
      <alignment horizontal="left" vertical="center" wrapText="1"/>
    </xf>
    <xf numFmtId="0" fontId="3" fillId="0" borderId="3" applyFill="0">
      <alignment horizontal="right" vertical="center" wrapText="1"/>
    </xf>
    <xf numFmtId="4" fontId="3" fillId="8" borderId="145">
      <alignment horizontal="right" vertical="center" wrapText="1"/>
    </xf>
    <xf numFmtId="49" fontId="3" fillId="3" borderId="28">
      <alignment horizontal="left" vertical="center" wrapText="1"/>
    </xf>
    <xf numFmtId="4" fontId="3" fillId="8" borderId="149">
      <alignment horizontal="right" vertical="center" wrapText="1"/>
    </xf>
    <xf numFmtId="0" fontId="2" fillId="6" borderId="22">
      <alignment horizontal="right" vertical="center" wrapText="1"/>
    </xf>
    <xf numFmtId="49" fontId="3" fillId="3" borderId="36">
      <alignment horizontal="left" vertical="center" wrapText="1"/>
      <protection locked="0"/>
    </xf>
    <xf numFmtId="49" fontId="3" fillId="3" borderId="28">
      <alignment horizontal="left" vertical="center" wrapText="1"/>
      <protection locked="0"/>
    </xf>
    <xf numFmtId="0" fontId="2" fillId="6" borderId="22">
      <alignment horizontal="right" vertical="center" wrapText="1"/>
      <protection locked="0"/>
    </xf>
    <xf numFmtId="0" fontId="1" fillId="11" borderId="147">
      <alignment horizontal="center" vertical="center" wrapText="1"/>
    </xf>
    <xf numFmtId="0" fontId="1" fillId="11" borderId="133">
      <alignment horizontal="center" vertical="center" wrapText="1"/>
    </xf>
    <xf numFmtId="0" fontId="1" fillId="11" borderId="133">
      <alignment vertical="center" wrapText="1"/>
    </xf>
    <xf numFmtId="0" fontId="2" fillId="11" borderId="133">
      <alignment vertical="center" wrapText="1"/>
    </xf>
    <xf numFmtId="49" fontId="2" fillId="11" borderId="133">
      <alignment horizontal="left" vertical="center" wrapText="1"/>
    </xf>
    <xf numFmtId="49" fontId="2" fillId="11" borderId="132">
      <alignment horizontal="left" vertical="center" wrapText="1"/>
    </xf>
    <xf numFmtId="49" fontId="2" fillId="11" borderId="27">
      <alignment horizontal="left" vertical="center" wrapText="1"/>
    </xf>
    <xf numFmtId="0" fontId="13" fillId="10" borderId="16">
      <alignment horizontal="left" vertical="center" wrapText="1"/>
    </xf>
    <xf numFmtId="0" fontId="13" fillId="10" borderId="16">
      <alignment horizontal="center" vertical="center" wrapText="1"/>
    </xf>
    <xf numFmtId="179" fontId="13" fillId="8" borderId="16">
      <alignment horizontal="right" vertical="center" wrapText="1"/>
    </xf>
    <xf numFmtId="0" fontId="13" fillId="10" borderId="0" applyBorder="0">
      <alignment horizontal="center" vertical="center" wrapText="1"/>
    </xf>
    <xf numFmtId="0" fontId="3" fillId="10" borderId="19">
      <alignment horizontal="left" vertical="center" wrapText="1"/>
    </xf>
    <xf numFmtId="49" fontId="76" fillId="0" borderId="27" applyFill="0">
      <alignment horizontal="center" vertical="center"/>
    </xf>
    <xf numFmtId="0" fontId="1" fillId="10" borderId="150" quotePrefix="1">
      <alignment horizontal="center" vertical="center"/>
    </xf>
    <xf numFmtId="14" fontId="3" fillId="10" borderId="22" quotePrefix="1">
      <alignment horizontal="center" vertical="center" wrapText="1"/>
    </xf>
    <xf numFmtId="179" fontId="3" fillId="8" borderId="16">
      <alignment horizontal="right" vertical="center" wrapText="1"/>
    </xf>
    <xf numFmtId="49" fontId="3" fillId="0" borderId="16" quotePrefix="1" applyFill="0">
      <alignment horizontal="center" vertical="center" wrapText="1"/>
    </xf>
    <xf numFmtId="0" fontId="76" fillId="0" borderId="27" applyFill="0">
      <alignment horizontal="center" vertical="center"/>
    </xf>
    <xf numFmtId="0" fontId="1" fillId="10" borderId="151" quotePrefix="1">
      <alignment horizontal="center" vertical="center"/>
    </xf>
    <xf numFmtId="14" fontId="3" fillId="10" borderId="47" quotePrefix="1">
      <alignment horizontal="center" vertical="center" wrapText="1"/>
    </xf>
    <xf numFmtId="179" fontId="2" fillId="8" borderId="16">
      <alignment horizontal="right" vertical="center" wrapText="1"/>
    </xf>
    <xf numFmtId="0" fontId="1" fillId="10" borderId="152" quotePrefix="1">
      <alignment horizontal="center" vertical="center"/>
    </xf>
    <xf numFmtId="14" fontId="3" fillId="10" borderId="21" quotePrefix="1">
      <alignment horizontal="center" vertical="center" wrapText="1"/>
    </xf>
    <xf numFmtId="0" fontId="3" fillId="10" borderId="47">
      <alignment horizontal="left" vertical="center" wrapText="1"/>
    </xf>
    <xf numFmtId="49" fontId="3" fillId="10" borderId="150">
      <alignment horizontal="center" vertical="center" wrapText="1"/>
    </xf>
    <xf numFmtId="0" fontId="1" fillId="10" borderId="150">
      <alignment horizontal="center" vertical="center"/>
    </xf>
    <xf numFmtId="0" fontId="1" fillId="10" borderId="152">
      <alignment horizontal="center" vertical="center"/>
    </xf>
    <xf numFmtId="0" fontId="1" fillId="10" borderId="151">
      <alignment horizontal="center" vertical="center"/>
    </xf>
    <xf numFmtId="49" fontId="3" fillId="0" borderId="47" applyFill="0">
      <alignment horizontal="center" vertical="center" wrapText="1"/>
    </xf>
    <xf numFmtId="49" fontId="3" fillId="10" borderId="151">
      <alignment horizontal="center" vertical="center" wrapText="1"/>
    </xf>
    <xf numFmtId="49" fontId="3" fillId="10" borderId="152">
      <alignment horizontal="center" vertical="center" wrapText="1"/>
    </xf>
    <xf numFmtId="14" fontId="3" fillId="10" borderId="152" quotePrefix="1">
      <alignment horizontal="center" vertical="center" wrapText="1"/>
    </xf>
    <xf numFmtId="49" fontId="76" fillId="0" borderId="22" applyFill="0">
      <alignment horizontal="center" vertical="center"/>
    </xf>
    <xf numFmtId="0" fontId="76" fillId="0" borderId="47" applyFill="0">
      <alignment horizontal="center" vertical="center"/>
    </xf>
    <xf numFmtId="0" fontId="3" fillId="10" borderId="21">
      <alignment horizontal="left" vertical="center" wrapText="1"/>
    </xf>
    <xf numFmtId="49" fontId="3" fillId="10" borderId="153" quotePrefix="1">
      <alignment horizontal="center" vertical="center" wrapText="1"/>
    </xf>
    <xf numFmtId="49" fontId="3" fillId="10" borderId="16" quotePrefix="1">
      <alignment horizontal="center" vertical="center" wrapText="1"/>
    </xf>
    <xf numFmtId="49" fontId="38" fillId="0" borderId="16" applyFill="0">
      <alignment horizontal="center" vertical="center" wrapText="1"/>
    </xf>
    <xf numFmtId="0" fontId="3" fillId="10" borderId="153">
      <alignment horizontal="center" vertical="center" wrapText="1"/>
    </xf>
    <xf numFmtId="0" fontId="28" fillId="10" borderId="16">
      <alignment horizontal="left" vertical="center" wrapText="1"/>
    </xf>
    <xf numFmtId="49" fontId="3" fillId="10" borderId="153">
      <alignment horizontal="center" vertical="center" wrapText="1"/>
    </xf>
    <xf numFmtId="49" fontId="28" fillId="3" borderId="4">
      <alignment horizontal="left" vertical="center" wrapText="1"/>
    </xf>
    <xf numFmtId="49" fontId="3" fillId="3" borderId="4">
      <alignment horizontal="center" vertical="center" wrapText="1"/>
    </xf>
    <xf numFmtId="49" fontId="3" fillId="3" borderId="4">
      <alignment horizontal="left" vertical="center" wrapText="1"/>
    </xf>
    <xf numFmtId="0" fontId="1" fillId="11" borderId="18">
      <alignment horizontal="center" vertical="center" wrapText="1"/>
    </xf>
    <xf numFmtId="49" fontId="15" fillId="11" borderId="18">
      <alignment horizontal="left" vertical="center" wrapText="1"/>
    </xf>
    <xf numFmtId="49" fontId="3" fillId="0" borderId="21" quotePrefix="1" applyFill="0">
      <alignment horizontal="center" vertical="center" wrapText="1"/>
    </xf>
    <xf numFmtId="0" fontId="13" fillId="10" borderId="21">
      <alignment horizontal="left" vertical="center" wrapText="1"/>
    </xf>
    <xf numFmtId="179" fontId="3" fillId="8" borderId="21">
      <alignment horizontal="right" vertical="center" wrapText="1"/>
    </xf>
    <xf numFmtId="0" fontId="76" fillId="0" borderId="46" applyFill="0">
      <alignment horizontal="center" vertical="center"/>
      <protection locked="0"/>
    </xf>
    <xf numFmtId="0" fontId="1" fillId="10" borderId="22" quotePrefix="1">
      <alignment horizontal="center" vertical="top"/>
    </xf>
    <xf numFmtId="0" fontId="76" fillId="0" borderId="46" applyFill="0">
      <alignment horizontal="center" vertical="center"/>
      <protection locked="0"/>
    </xf>
    <xf numFmtId="0" fontId="1" fillId="10" borderId="47" quotePrefix="1">
      <alignment horizontal="center" vertical="top"/>
    </xf>
    <xf numFmtId="0" fontId="1" fillId="10" borderId="21" quotePrefix="1">
      <alignment horizontal="center" vertical="top"/>
    </xf>
    <xf numFmtId="0" fontId="28" fillId="10" borderId="21">
      <alignment horizontal="left" vertical="center" wrapText="1"/>
    </xf>
    <xf numFmtId="49" fontId="1" fillId="10" borderId="21" quotePrefix="1">
      <alignment horizontal="center" vertical="center" wrapText="1"/>
    </xf>
    <xf numFmtId="0" fontId="3" fillId="10" borderId="22">
      <alignment horizontal="left" vertical="center" wrapText="1"/>
    </xf>
    <xf numFmtId="49" fontId="1" fillId="10" borderId="22" quotePrefix="1">
      <alignment horizontal="center" vertical="center" wrapText="1"/>
    </xf>
    <xf numFmtId="0" fontId="3" fillId="10" borderId="16">
      <alignment vertical="center" wrapText="1"/>
    </xf>
    <xf numFmtId="49" fontId="1" fillId="10" borderId="47" quotePrefix="1">
      <alignment horizontal="center" vertical="center" wrapText="1"/>
    </xf>
    <xf numFmtId="0" fontId="3" fillId="10" borderId="46">
      <alignment horizontal="center" vertical="center" wrapText="1"/>
      <protection locked="0"/>
    </xf>
    <xf numFmtId="0" fontId="3" fillId="10" borderId="46">
      <alignment horizontal="center" vertical="center" wrapText="1"/>
      <protection locked="0"/>
    </xf>
    <xf numFmtId="0" fontId="1" fillId="0" borderId="46" applyFill="0">
      <alignment horizontal="center" vertical="center" wrapText="1"/>
      <protection locked="0"/>
    </xf>
    <xf numFmtId="0" fontId="1" fillId="0" borderId="46" applyFill="0">
      <alignment horizontal="center" vertical="center" wrapText="1"/>
      <protection locked="0"/>
    </xf>
    <xf numFmtId="0" fontId="28" fillId="10" borderId="47">
      <alignment horizontal="left" vertical="center" wrapText="1"/>
    </xf>
    <xf numFmtId="49" fontId="3" fillId="10" borderId="27">
      <alignment horizontal="center" vertical="center" wrapText="1"/>
    </xf>
    <xf numFmtId="0" fontId="1" fillId="10" borderId="42" quotePrefix="1">
      <alignment horizontal="center" vertical="top"/>
    </xf>
    <xf numFmtId="49" fontId="3" fillId="10" borderId="22" quotePrefix="1">
      <alignment horizontal="center" vertical="center" wrapText="1"/>
    </xf>
    <xf numFmtId="0" fontId="1" fillId="10" borderId="46" quotePrefix="1">
      <alignment horizontal="center" vertical="top"/>
    </xf>
    <xf numFmtId="49" fontId="3" fillId="10" borderId="47" quotePrefix="1">
      <alignment horizontal="center" vertical="center" wrapText="1"/>
    </xf>
    <xf numFmtId="0" fontId="1" fillId="10" borderId="154" quotePrefix="1">
      <alignment horizontal="center" vertical="top"/>
    </xf>
    <xf numFmtId="49" fontId="3" fillId="10" borderId="149" quotePrefix="1">
      <alignment horizontal="center" vertical="center" wrapText="1"/>
    </xf>
    <xf numFmtId="0" fontId="3" fillId="10" borderId="149">
      <alignment horizontal="center" vertical="center" wrapText="1"/>
    </xf>
    <xf numFmtId="0" fontId="1" fillId="10" borderId="149" quotePrefix="1">
      <alignment horizontal="center" vertical="top"/>
    </xf>
    <xf numFmtId="0" fontId="1" fillId="11" borderId="19">
      <alignment horizontal="center" vertical="center" wrapText="1"/>
    </xf>
    <xf numFmtId="0" fontId="1" fillId="11" borderId="5">
      <alignment vertical="center" wrapText="1"/>
    </xf>
    <xf numFmtId="49" fontId="15" fillId="11" borderId="5">
      <alignment horizontal="left" vertical="center" wrapText="1"/>
    </xf>
    <xf numFmtId="49" fontId="15" fillId="11" borderId="37">
      <alignment horizontal="left" vertical="center" wrapText="1"/>
    </xf>
    <xf numFmtId="49" fontId="15" fillId="11" borderId="27">
      <alignment horizontal="left" vertical="center" wrapText="1"/>
    </xf>
    <xf numFmtId="49" fontId="29" fillId="0" borderId="16" applyFill="0">
      <alignment horizontal="center" vertical="center" wrapText="1"/>
    </xf>
    <xf numFmtId="179" fontId="29" fillId="8" borderId="16">
      <alignment horizontal="right" vertical="center" wrapText="1"/>
    </xf>
    <xf numFmtId="0" fontId="1" fillId="11" borderId="1">
      <alignment horizontal="center" vertical="center" wrapText="1"/>
    </xf>
    <xf numFmtId="0" fontId="1" fillId="11" borderId="2">
      <alignment vertical="center" wrapText="1"/>
    </xf>
    <xf numFmtId="49" fontId="3" fillId="0" borderId="0" applyFill="0" applyBorder="0">
      <alignment horizontal="left" vertical="center" wrapText="1"/>
    </xf>
    <xf numFmtId="49" fontId="13" fillId="0" borderId="0" applyFill="0" applyBorder="0">
      <alignment horizontal="left" vertical="center" wrapText="1"/>
    </xf>
    <xf numFmtId="0" fontId="13" fillId="10" borderId="22">
      <alignment horizontal="center" vertical="center" wrapText="1"/>
    </xf>
    <xf numFmtId="0" fontId="13" fillId="10" borderId="35">
      <alignment horizontal="center" vertical="center" wrapText="1"/>
    </xf>
    <xf numFmtId="0" fontId="13" fillId="10" borderId="19">
      <alignment horizontal="center" vertical="center" wrapText="1"/>
    </xf>
    <xf numFmtId="0" fontId="13" fillId="10" borderId="5">
      <alignment horizontal="center" vertical="center" wrapText="1"/>
    </xf>
    <xf numFmtId="0" fontId="13" fillId="10" borderId="37">
      <alignment horizontal="center" vertical="center" wrapText="1"/>
    </xf>
    <xf numFmtId="0" fontId="13" fillId="10" borderId="47">
      <alignment horizontal="center" vertical="center" wrapText="1"/>
    </xf>
    <xf numFmtId="0" fontId="13" fillId="10" borderId="21">
      <alignment horizontal="center" vertical="center" wrapText="1"/>
    </xf>
    <xf numFmtId="0" fontId="13" fillId="10" borderId="20">
      <alignment horizontal="center" vertical="center" wrapText="1"/>
    </xf>
    <xf numFmtId="0" fontId="3" fillId="10" borderId="19">
      <alignment horizontal="center" vertical="center" wrapText="1"/>
    </xf>
    <xf numFmtId="49" fontId="3" fillId="10" borderId="19">
      <alignment horizontal="center" vertical="center" wrapText="1"/>
    </xf>
    <xf numFmtId="49" fontId="3" fillId="10" borderId="37">
      <alignment horizontal="center" vertical="center" wrapText="1"/>
    </xf>
    <xf numFmtId="49" fontId="3" fillId="10" borderId="0" applyBorder="0">
      <alignment horizontal="center" vertical="center" wrapText="1"/>
    </xf>
    <xf numFmtId="4" fontId="3" fillId="10" borderId="19">
      <alignment horizontal="center" vertical="center" wrapText="1"/>
    </xf>
    <xf numFmtId="4" fontId="3" fillId="10" borderId="37">
      <alignment horizontal="center" vertical="center" wrapText="1"/>
    </xf>
    <xf numFmtId="4" fontId="3" fillId="10" borderId="16">
      <alignment horizontal="center" vertical="center" wrapText="1"/>
    </xf>
    <xf numFmtId="49" fontId="3" fillId="10" borderId="19">
      <alignment horizontal="left" vertical="center" wrapText="1"/>
    </xf>
    <xf numFmtId="49" fontId="3" fillId="10" borderId="16">
      <alignment horizontal="left" vertical="center" wrapText="1"/>
    </xf>
    <xf numFmtId="0" fontId="3" fillId="10" borderId="16" quotePrefix="1">
      <alignment horizontal="center" vertical="center" wrapText="1"/>
    </xf>
    <xf numFmtId="0" fontId="3" fillId="9" borderId="4">
      <alignment horizontal="center" vertical="center" wrapText="1"/>
    </xf>
    <xf numFmtId="4" fontId="29" fillId="8" borderId="16">
      <alignment vertical="center" wrapText="1"/>
    </xf>
    <xf numFmtId="4" fontId="2" fillId="8" borderId="16">
      <alignment vertical="center" wrapText="1"/>
    </xf>
    <xf numFmtId="10" fontId="3" fillId="6" borderId="4">
      <alignment vertical="center" wrapText="1"/>
    </xf>
    <xf numFmtId="4" fontId="3" fillId="6" borderId="28">
      <alignment horizontal="right" vertical="center" wrapText="1"/>
      <protection locked="0"/>
    </xf>
    <xf numFmtId="170" fontId="2" fillId="6" borderId="16">
      <alignment horizontal="right" vertical="center" wrapText="1"/>
      <protection locked="0"/>
    </xf>
    <xf numFmtId="170" fontId="29" fillId="8" borderId="16">
      <alignment vertical="center" wrapText="1"/>
    </xf>
    <xf numFmtId="170" fontId="2" fillId="6" borderId="16">
      <alignment horizontal="right" vertical="center" wrapText="1"/>
    </xf>
    <xf numFmtId="170" fontId="2" fillId="6" borderId="19">
      <alignment horizontal="right" vertical="center" wrapText="1"/>
    </xf>
    <xf numFmtId="4" fontId="2" fillId="8" borderId="27">
      <alignment vertical="center" wrapText="1"/>
    </xf>
    <xf numFmtId="49" fontId="3" fillId="6" borderId="28">
      <alignment vertical="center" wrapText="1"/>
      <protection locked="0"/>
    </xf>
    <xf numFmtId="49" fontId="3" fillId="6" borderId="28">
      <alignment vertical="center" wrapText="1"/>
    </xf>
    <xf numFmtId="4" fontId="2" fillId="8" borderId="11">
      <alignment vertical="center" wrapText="1"/>
    </xf>
    <xf numFmtId="170" fontId="2" fillId="8" borderId="16">
      <alignment vertical="center" wrapText="1"/>
    </xf>
    <xf numFmtId="4" fontId="2" fillId="8" borderId="12">
      <alignment vertical="center" wrapText="1"/>
    </xf>
    <xf numFmtId="170" fontId="29" fillId="8" borderId="27">
      <alignment vertical="center" wrapText="1"/>
    </xf>
    <xf numFmtId="4" fontId="2" fillId="6" borderId="19">
      <alignment horizontal="right" vertical="center" wrapText="1"/>
    </xf>
    <xf numFmtId="0" fontId="2" fillId="0" borderId="25" applyFill="0">
      <alignment horizontal="left" vertical="center" wrapText="1"/>
    </xf>
    <xf numFmtId="0" fontId="2" fillId="15" borderId="5">
      <alignment horizontal="center" vertical="center" wrapText="1"/>
    </xf>
    <xf numFmtId="0" fontId="2" fillId="15" borderId="37">
      <alignment horizontal="center" vertical="center" wrapText="1"/>
    </xf>
    <xf numFmtId="0" fontId="2" fillId="4" borderId="4">
      <alignment horizontal="center" vertical="center" wrapText="1"/>
    </xf>
    <xf numFmtId="0" fontId="2" fillId="0" borderId="19" applyFill="0">
      <alignment vertical="center" wrapText="1"/>
    </xf>
    <xf numFmtId="0" fontId="2" fillId="0" borderId="5" applyFill="0">
      <alignment vertical="center" wrapText="1"/>
    </xf>
    <xf numFmtId="0" fontId="2" fillId="0" borderId="37" applyFill="0">
      <alignment vertical="center" wrapText="1"/>
    </xf>
    <xf numFmtId="0" fontId="2" fillId="13" borderId="5">
      <alignment horizontal="center" vertical="center" wrapText="1"/>
    </xf>
    <xf numFmtId="0" fontId="2" fillId="13" borderId="37">
      <alignment horizontal="left" vertical="center" wrapText="1"/>
    </xf>
    <xf numFmtId="4" fontId="2" fillId="4" borderId="21">
      <alignment horizontal="right" vertical="center" wrapText="1"/>
    </xf>
    <xf numFmtId="4" fontId="2" fillId="4" borderId="16">
      <alignment horizontal="right" vertical="center" wrapText="1"/>
    </xf>
    <xf numFmtId="49" fontId="2" fillId="11" borderId="35">
      <alignment horizontal="center" vertical="center" wrapText="1"/>
    </xf>
    <xf numFmtId="49" fontId="2" fillId="11" borderId="17">
      <alignment horizontal="left" vertical="center" wrapText="1"/>
    </xf>
    <xf numFmtId="0" fontId="2" fillId="11" borderId="42">
      <alignment horizontal="left" vertical="center" wrapText="1"/>
    </xf>
    <xf numFmtId="0" fontId="2" fillId="11" borderId="4">
      <alignment horizontal="left" vertical="center" wrapText="1"/>
    </xf>
    <xf numFmtId="178" fontId="76" fillId="0" borderId="0" applyFill="0" applyBorder="0">
      <alignment vertical="top" wrapText="1"/>
    </xf>
    <xf numFmtId="49" fontId="2" fillId="3" borderId="27">
      <alignment horizontal="left" vertical="center" wrapText="1"/>
    </xf>
    <xf numFmtId="178" fontId="2" fillId="3" borderId="27">
      <alignment horizontal="center" vertical="center" wrapText="1"/>
    </xf>
    <xf numFmtId="178" fontId="2" fillId="6" borderId="27">
      <alignment horizontal="center" vertical="center" wrapText="1"/>
    </xf>
    <xf numFmtId="178" fontId="2" fillId="6" borderId="27">
      <alignment horizontal="right" vertical="center" wrapText="1"/>
    </xf>
    <xf numFmtId="49" fontId="2" fillId="3" borderId="27">
      <alignment horizontal="center" vertical="center" wrapText="1"/>
    </xf>
    <xf numFmtId="4" fontId="2" fillId="6" borderId="27">
      <alignment horizontal="right" vertical="center" wrapText="1"/>
    </xf>
    <xf numFmtId="0" fontId="3" fillId="3" borderId="27">
      <alignment horizontal="left" vertical="center" wrapText="1"/>
    </xf>
    <xf numFmtId="4" fontId="2" fillId="3" borderId="27">
      <alignment horizontal="right" vertical="center" wrapText="1"/>
    </xf>
    <xf numFmtId="0" fontId="15" fillId="11" borderId="18">
      <alignment vertical="center" wrapText="1"/>
    </xf>
    <xf numFmtId="0" fontId="2" fillId="11" borderId="18">
      <alignment horizontal="left" vertical="center" wrapText="1"/>
    </xf>
    <xf numFmtId="0" fontId="2" fillId="11" borderId="43">
      <alignment horizontal="left" vertical="center" wrapText="1"/>
    </xf>
    <xf numFmtId="0" fontId="51" fillId="0" borderId="0" applyFill="0" applyBorder="0">
      <alignment horizontal="left" vertical="center" wrapText="1"/>
    </xf>
    <xf numFmtId="0" fontId="3" fillId="0" borderId="25" applyFill="0">
      <alignment horizontal="left" vertical="center" wrapText="1"/>
    </xf>
    <xf numFmtId="0" fontId="1" fillId="0" borderId="38" applyFill="0">
      <alignment horizontal="center" vertical="center" wrapText="1"/>
    </xf>
    <xf numFmtId="0" fontId="3" fillId="17" borderId="35">
      <alignment horizontal="center" vertical="center" wrapText="1"/>
    </xf>
    <xf numFmtId="0" fontId="1" fillId="0" borderId="22" applyFill="0">
      <alignment horizontal="center" vertical="center" wrapText="1"/>
    </xf>
    <xf numFmtId="0" fontId="3" fillId="17" borderId="20">
      <alignment horizontal="center" vertical="center" wrapText="1"/>
    </xf>
    <xf numFmtId="0" fontId="1" fillId="0" borderId="47" applyFill="0">
      <alignment horizontal="center" vertical="center" wrapText="1"/>
    </xf>
    <xf numFmtId="0" fontId="2" fillId="0" borderId="64" applyFill="0">
      <alignment horizontal="center" vertical="center" wrapText="1"/>
    </xf>
    <xf numFmtId="0" fontId="2" fillId="12" borderId="64">
      <alignment horizontal="center" vertical="center" wrapText="1"/>
    </xf>
    <xf numFmtId="0" fontId="2" fillId="12" borderId="46">
      <alignment horizontal="center" vertical="center" wrapText="1"/>
    </xf>
    <xf numFmtId="4" fontId="1" fillId="11" borderId="19">
      <alignment horizontal="right" vertical="center" wrapText="1"/>
    </xf>
    <xf numFmtId="4" fontId="1" fillId="11" borderId="16">
      <alignment horizontal="left" vertical="center" wrapText="1"/>
    </xf>
    <xf numFmtId="0" fontId="13" fillId="13" borderId="35">
      <alignment horizontal="center" vertical="center" wrapText="1"/>
    </xf>
    <xf numFmtId="0" fontId="13" fillId="13" borderId="42">
      <alignment horizontal="left" vertical="center" wrapText="1"/>
    </xf>
    <xf numFmtId="4" fontId="13" fillId="0" borderId="38" applyFill="0">
      <alignment horizontal="right" vertical="center" wrapText="1"/>
    </xf>
    <xf numFmtId="0" fontId="13" fillId="13" borderId="18">
      <alignment horizontal="center" vertical="center" wrapText="1"/>
    </xf>
    <xf numFmtId="0" fontId="13" fillId="13" borderId="43">
      <alignment horizontal="center" vertical="center" wrapText="1"/>
    </xf>
    <xf numFmtId="49" fontId="3" fillId="6" borderId="65">
      <alignment horizontal="left" vertical="center" wrapText="1"/>
    </xf>
    <xf numFmtId="178" fontId="3" fillId="3" borderId="16">
      <alignment horizontal="left" vertical="center" wrapText="1"/>
    </xf>
    <xf numFmtId="0" fontId="3" fillId="3" borderId="16">
      <alignment horizontal="left" vertical="center" wrapText="1"/>
    </xf>
    <xf numFmtId="49" fontId="2" fillId="3" borderId="16">
      <alignment horizontal="center" vertical="center" wrapText="1"/>
    </xf>
    <xf numFmtId="0" fontId="52" fillId="13" borderId="5">
      <alignment horizontal="left" vertical="center" wrapText="1"/>
    </xf>
    <xf numFmtId="49" fontId="3" fillId="6" borderId="16">
      <alignment horizontal="right" vertical="center" wrapText="1"/>
    </xf>
    <xf numFmtId="49" fontId="3" fillId="0" borderId="38" applyFill="0">
      <alignment horizontal="left" vertical="center" wrapText="1"/>
    </xf>
    <xf numFmtId="4" fontId="1" fillId="0" borderId="38" applyFill="0">
      <alignment horizontal="right" vertical="center" wrapText="1"/>
    </xf>
    <xf numFmtId="0" fontId="1" fillId="11" borderId="5">
      <alignment horizontal="center" vertical="center" wrapText="1"/>
    </xf>
    <xf numFmtId="49" fontId="3" fillId="6" borderId="65">
      <alignment horizontal="left" vertical="center" wrapText="1"/>
      <protection locked="0"/>
    </xf>
    <xf numFmtId="178" fontId="3" fillId="3" borderId="16">
      <alignment horizontal="left" vertical="center" wrapText="1"/>
      <protection locked="0"/>
    </xf>
    <xf numFmtId="0" fontId="3" fillId="3" borderId="16">
      <alignment horizontal="left" vertical="center" wrapText="1"/>
      <protection locked="0"/>
    </xf>
    <xf numFmtId="49" fontId="2" fillId="3" borderId="16">
      <alignment horizontal="center" vertical="center" wrapText="1"/>
      <protection locked="0"/>
    </xf>
    <xf numFmtId="178" fontId="2" fillId="6" borderId="16">
      <alignment horizontal="right" vertical="center" wrapText="1"/>
      <protection locked="0"/>
    </xf>
    <xf numFmtId="10" fontId="3" fillId="6" borderId="16">
      <alignment horizontal="right" vertical="center" wrapText="1"/>
    </xf>
    <xf numFmtId="4" fontId="1" fillId="11" borderId="17">
      <alignment horizontal="right" vertical="center" wrapText="1"/>
    </xf>
    <xf numFmtId="0" fontId="13" fillId="13" borderId="5">
      <alignment horizontal="center" vertical="center" wrapText="1"/>
    </xf>
    <xf numFmtId="0" fontId="13" fillId="13" borderId="37">
      <alignment horizontal="center" vertical="center" wrapText="1"/>
    </xf>
    <xf numFmtId="0" fontId="13" fillId="13" borderId="19">
      <alignment horizontal="left" vertical="center" wrapText="1"/>
    </xf>
    <xf numFmtId="4" fontId="13" fillId="12" borderId="4">
      <alignment horizontal="right" vertical="center" wrapText="1"/>
    </xf>
    <xf numFmtId="4" fontId="13" fillId="8" borderId="5">
      <alignment horizontal="right" vertical="center" wrapText="1"/>
    </xf>
    <xf numFmtId="0" fontId="1" fillId="15" borderId="16">
      <alignment horizontal="center" vertical="center" wrapText="1"/>
    </xf>
    <xf numFmtId="0" fontId="1" fillId="4" borderId="4">
      <alignment horizontal="center" vertical="center" wrapText="1"/>
    </xf>
    <xf numFmtId="0" fontId="1" fillId="0" borderId="21" applyFill="0">
      <alignment horizontal="center" vertical="center" wrapText="1"/>
    </xf>
    <xf numFmtId="49" fontId="1" fillId="6" borderId="4">
      <alignment horizontal="left" vertical="center" wrapText="1"/>
      <protection locked="0"/>
    </xf>
    <xf numFmtId="49" fontId="1" fillId="6" borderId="4">
      <alignment horizontal="left" vertical="center" wrapText="1"/>
    </xf>
    <xf numFmtId="0" fontId="18" fillId="11" borderId="1">
      <alignment horizontal="center" vertical="center" wrapText="1"/>
    </xf>
    <xf numFmtId="0" fontId="18" fillId="11" borderId="2">
      <alignment horizontal="center" vertical="center" wrapText="1"/>
    </xf>
    <xf numFmtId="0" fontId="18" fillId="11" borderId="3">
      <alignment horizontal="center" vertical="center" wrapText="1"/>
    </xf>
    <xf numFmtId="0" fontId="18" fillId="11" borderId="4">
      <alignment horizontal="center" vertical="center" wrapText="1"/>
    </xf>
    <xf numFmtId="0" fontId="1" fillId="0" borderId="35" applyFill="0">
      <alignment horizontal="center" vertical="center" wrapText="1"/>
    </xf>
    <xf numFmtId="49" fontId="3" fillId="3" borderId="22">
      <alignment horizontal="left" vertical="center" wrapText="1"/>
    </xf>
    <xf numFmtId="178" fontId="3" fillId="3" borderId="22">
      <alignment horizontal="center" vertical="center" wrapText="1"/>
    </xf>
    <xf numFmtId="49" fontId="1" fillId="6" borderId="141">
      <alignment horizontal="left" vertical="center" wrapText="1"/>
    </xf>
    <xf numFmtId="0" fontId="3" fillId="3" borderId="22">
      <alignment horizontal="left" vertical="center" wrapText="1"/>
    </xf>
    <xf numFmtId="49" fontId="3" fillId="6" borderId="141">
      <alignment horizontal="center" vertical="center" wrapText="1"/>
    </xf>
    <xf numFmtId="49" fontId="3" fillId="6" borderId="141">
      <alignment horizontal="left" vertical="center" wrapText="1"/>
    </xf>
    <xf numFmtId="178" fontId="2" fillId="6" borderId="22">
      <alignment horizontal="center" vertical="center" wrapText="1"/>
    </xf>
    <xf numFmtId="49" fontId="3" fillId="6" borderId="35">
      <alignment horizontal="left" vertical="center" wrapText="1"/>
    </xf>
    <xf numFmtId="0" fontId="52" fillId="13" borderId="17">
      <alignment horizontal="left" vertical="center" wrapText="1"/>
    </xf>
    <xf numFmtId="4" fontId="3" fillId="6" borderId="141">
      <alignment horizontal="right" vertical="center" wrapText="1"/>
    </xf>
    <xf numFmtId="0" fontId="18" fillId="11" borderId="25">
      <alignment horizontal="center" vertical="center" wrapText="1"/>
    </xf>
    <xf numFmtId="0" fontId="15" fillId="11" borderId="31">
      <alignment horizontal="left" vertical="center"/>
    </xf>
    <xf numFmtId="0" fontId="18" fillId="11" borderId="31">
      <alignment horizontal="center" vertical="center" wrapText="1"/>
    </xf>
    <xf numFmtId="0" fontId="15" fillId="11" borderId="31">
      <alignment horizontal="left" vertical="center" wrapText="1"/>
    </xf>
    <xf numFmtId="0" fontId="18" fillId="11" borderId="26">
      <alignment horizontal="center" vertical="center" wrapText="1"/>
    </xf>
    <xf numFmtId="0" fontId="3" fillId="0" borderId="0" applyFill="0" applyBorder="0"/>
    <xf numFmtId="0" fontId="3" fillId="4" borderId="47">
      <alignment horizontal="center" vertical="center" wrapText="1"/>
    </xf>
    <xf numFmtId="0" fontId="13" fillId="0" borderId="4" applyFill="0">
      <alignment horizontal="left" vertical="center" wrapText="1"/>
    </xf>
    <xf numFmtId="0" fontId="3" fillId="6" borderId="4">
      <alignment vertical="center" wrapText="1"/>
    </xf>
    <xf numFmtId="0" fontId="3" fillId="8" borderId="4">
      <alignment horizontal="right" vertical="center" wrapText="1"/>
    </xf>
    <xf numFmtId="0" fontId="2" fillId="0" borderId="2" applyFill="0">
      <alignment horizontal="left" vertical="center" wrapText="1"/>
    </xf>
    <xf numFmtId="0" fontId="29" fillId="0" borderId="19" applyFill="0">
      <alignment horizontal="left" vertical="center" wrapText="1"/>
    </xf>
    <xf numFmtId="0" fontId="29" fillId="0" borderId="5" applyFill="0">
      <alignment horizontal="left" vertical="center" wrapText="1"/>
    </xf>
    <xf numFmtId="2" fontId="29" fillId="8" borderId="27">
      <alignment horizontal="right" vertical="center" wrapText="1"/>
    </xf>
    <xf numFmtId="0" fontId="2" fillId="0" borderId="155" applyFill="0">
      <alignment horizontal="center" vertical="center" wrapText="1" shrinkToFit="1"/>
    </xf>
    <xf numFmtId="0" fontId="2" fillId="0" borderId="156" applyFill="0">
      <alignment horizontal="center" vertical="center" wrapText="1" shrinkToFit="1"/>
    </xf>
    <xf numFmtId="0" fontId="2" fillId="0" borderId="5" applyFill="0">
      <alignment horizontal="center" vertical="center" wrapText="1" shrinkToFit="1"/>
    </xf>
    <xf numFmtId="0" fontId="2" fillId="0" borderId="156" applyFill="0">
      <alignment horizontal="center" vertical="center" wrapText="1"/>
    </xf>
    <xf numFmtId="0" fontId="2" fillId="0" borderId="157" applyFill="0">
      <alignment horizontal="center" vertical="center" wrapText="1"/>
    </xf>
    <xf numFmtId="0" fontId="2" fillId="4" borderId="157">
      <alignment horizontal="center" vertical="center" wrapText="1"/>
    </xf>
    <xf numFmtId="10" fontId="76" fillId="0" borderId="0" applyFill="0" applyBorder="0">
      <alignment vertical="top" wrapText="1"/>
    </xf>
    <xf numFmtId="0" fontId="2" fillId="0" borderId="28" applyFill="0">
      <alignment horizontal="left" vertical="center" wrapText="1"/>
    </xf>
    <xf numFmtId="10" fontId="2" fillId="0" borderId="28" applyFill="0">
      <alignment horizontal="center" vertical="center" wrapText="1"/>
    </xf>
    <xf numFmtId="4" fontId="2" fillId="6" borderId="28">
      <alignment horizontal="right" vertical="center" wrapText="1"/>
    </xf>
    <xf numFmtId="10" fontId="2" fillId="0" borderId="4" applyFill="0">
      <alignment horizontal="center" vertical="center" wrapText="1"/>
    </xf>
    <xf numFmtId="0" fontId="2" fillId="0" borderId="36" applyFill="0">
      <alignment horizontal="center" vertical="center" wrapText="1"/>
    </xf>
    <xf numFmtId="4" fontId="2" fillId="8" borderId="36">
      <alignment horizontal="right" vertical="center" wrapText="1"/>
    </xf>
    <xf numFmtId="49" fontId="3" fillId="6" borderId="36">
      <alignment vertical="center" wrapText="1"/>
      <protection locked="0"/>
    </xf>
    <xf numFmtId="49" fontId="3" fillId="6" borderId="36">
      <alignment vertical="center" wrapText="1"/>
    </xf>
    <xf numFmtId="49" fontId="2" fillId="0" borderId="158" applyFill="0">
      <alignment horizontal="center" vertical="center" wrapText="1"/>
    </xf>
    <xf numFmtId="0" fontId="2" fillId="0" borderId="159" applyFill="0">
      <alignment horizontal="left" vertical="center" wrapText="1"/>
    </xf>
    <xf numFmtId="10" fontId="2" fillId="3" borderId="160">
      <alignment horizontal="right" vertical="center" wrapText="1"/>
    </xf>
    <xf numFmtId="49" fontId="2" fillId="0" borderId="161" applyFill="0">
      <alignment horizontal="center" vertical="center" wrapText="1"/>
    </xf>
    <xf numFmtId="0" fontId="2" fillId="0" borderId="134" applyFill="0">
      <alignment horizontal="left" vertical="center" wrapText="1"/>
    </xf>
    <xf numFmtId="10" fontId="2" fillId="0" borderId="134" applyFill="0">
      <alignment horizontal="right" vertical="center" wrapText="1"/>
    </xf>
    <xf numFmtId="49" fontId="2" fillId="11" borderId="5">
      <alignment vertical="center" wrapText="1"/>
    </xf>
    <xf numFmtId="0" fontId="2" fillId="11" borderId="37">
      <alignment vertical="center" wrapText="1"/>
    </xf>
    <xf numFmtId="0" fontId="2" fillId="11" borderId="4">
      <alignment vertical="center" wrapText="1"/>
    </xf>
    <xf numFmtId="0" fontId="29" fillId="0" borderId="28" applyFill="0">
      <alignment horizontal="left" vertical="center" wrapText="1"/>
    </xf>
    <xf numFmtId="4" fontId="29" fillId="8" borderId="28">
      <alignment horizontal="right" vertical="center" wrapText="1"/>
    </xf>
    <xf numFmtId="49" fontId="29" fillId="6" borderId="28">
      <alignment vertical="center" wrapText="1"/>
      <protection locked="0"/>
    </xf>
    <xf numFmtId="49" fontId="29" fillId="6" borderId="28">
      <alignment vertical="center" wrapText="1"/>
    </xf>
    <xf numFmtId="4" fontId="29" fillId="6" borderId="4">
      <alignment horizontal="right" vertical="center" wrapText="1"/>
    </xf>
    <xf numFmtId="49" fontId="29" fillId="6" borderId="4">
      <alignment vertical="center" wrapText="1"/>
    </xf>
    <xf numFmtId="0" fontId="2" fillId="0" borderId="162" applyFill="0">
      <alignment horizontal="left" vertical="center" wrapText="1"/>
    </xf>
    <xf numFmtId="0" fontId="3" fillId="0" borderId="24" applyFill="0">
      <alignment horizontal="left" vertical="center" wrapText="1"/>
    </xf>
    <xf numFmtId="0" fontId="3" fillId="0" borderId="163" applyFill="0">
      <alignment vertical="center" wrapText="1"/>
    </xf>
    <xf numFmtId="0" fontId="3" fillId="0" borderId="36" applyFill="0">
      <alignment horizontal="center" vertical="center" wrapText="1" shrinkToFit="1"/>
    </xf>
    <xf numFmtId="0" fontId="3" fillId="4" borderId="17">
      <alignment horizontal="center" vertical="center" wrapText="1"/>
    </xf>
    <xf numFmtId="0" fontId="3" fillId="4" borderId="42">
      <alignment horizontal="center" vertical="center" wrapText="1"/>
    </xf>
    <xf numFmtId="0" fontId="3" fillId="4" borderId="9">
      <alignment horizontal="center" vertical="center" wrapText="1"/>
    </xf>
    <xf numFmtId="0" fontId="3" fillId="4" borderId="46">
      <alignment horizontal="center" vertical="center" wrapText="1"/>
    </xf>
    <xf numFmtId="0" fontId="3" fillId="0" borderId="28" applyFill="0">
      <alignment horizontal="center" vertical="center" wrapText="1" shrinkToFit="1"/>
    </xf>
    <xf numFmtId="0" fontId="3" fillId="4" borderId="27">
      <alignment horizontal="center" vertical="center" wrapText="1"/>
    </xf>
    <xf numFmtId="4" fontId="3" fillId="6" borderId="1">
      <alignment vertical="center" wrapText="1"/>
    </xf>
    <xf numFmtId="4" fontId="3" fillId="6" borderId="29">
      <alignment vertical="center" wrapText="1"/>
    </xf>
    <xf numFmtId="4" fontId="3" fillId="6" borderId="29">
      <alignment horizontal="right" vertical="center" wrapText="1"/>
    </xf>
    <xf numFmtId="4" fontId="3" fillId="6" borderId="3">
      <alignment horizontal="right" vertical="center" wrapText="1"/>
    </xf>
    <xf numFmtId="4" fontId="3" fillId="6" borderId="3">
      <alignment horizontal="right" vertical="center" wrapText="1"/>
      <protection locked="0"/>
    </xf>
    <xf numFmtId="0" fontId="1" fillId="11" borderId="52">
      <alignment horizontal="center" vertical="center" wrapText="1"/>
    </xf>
    <xf numFmtId="0" fontId="1" fillId="11" borderId="15">
      <alignment vertical="center" wrapText="1"/>
    </xf>
    <xf numFmtId="0" fontId="1" fillId="11" borderId="15">
      <alignment horizontal="right" vertical="center" wrapText="1"/>
    </xf>
    <xf numFmtId="49" fontId="15" fillId="11" borderId="3">
      <alignment vertical="center" wrapText="1"/>
    </xf>
    <xf numFmtId="49" fontId="15" fillId="11" borderId="4">
      <alignment vertical="center" wrapText="1"/>
    </xf>
    <xf numFmtId="4" fontId="13" fillId="4" borderId="4">
      <alignment vertical="center" wrapText="1"/>
    </xf>
    <xf numFmtId="4" fontId="13" fillId="8" borderId="1">
      <alignment vertical="center" wrapText="1"/>
    </xf>
    <xf numFmtId="4" fontId="13" fillId="4" borderId="3">
      <alignment vertical="center" wrapText="1"/>
    </xf>
    <xf numFmtId="49" fontId="13" fillId="0" borderId="4" quotePrefix="1" applyFill="0">
      <alignment horizontal="center" vertical="center" wrapText="1"/>
    </xf>
    <xf numFmtId="4" fontId="13" fillId="6" borderId="4">
      <alignment horizontal="right" vertical="center" wrapText="1"/>
    </xf>
    <xf numFmtId="4" fontId="13" fillId="6" borderId="1">
      <alignment horizontal="right" vertical="center" wrapText="1"/>
      <protection locked="0"/>
    </xf>
    <xf numFmtId="4" fontId="13" fillId="4" borderId="3">
      <alignment horizontal="right" vertical="center" wrapText="1"/>
    </xf>
    <xf numFmtId="4" fontId="13" fillId="6" borderId="4">
      <alignment horizontal="right" vertical="center" wrapText="1"/>
      <protection locked="0"/>
    </xf>
    <xf numFmtId="10" fontId="13" fillId="6" borderId="4">
      <alignment horizontal="right" vertical="center" wrapText="1"/>
      <protection locked="0"/>
    </xf>
    <xf numFmtId="0" fontId="29" fillId="0" borderId="0" applyFill="0" applyBorder="0">
      <alignment horizontal="right" vertical="center" wrapText="1"/>
    </xf>
    <xf numFmtId="0" fontId="13" fillId="0" borderId="2" applyFill="0">
      <alignment horizontal="left" vertical="center" wrapText="1"/>
    </xf>
    <xf numFmtId="0" fontId="13" fillId="0" borderId="9" applyFill="0">
      <alignment horizontal="left" wrapText="1"/>
    </xf>
    <xf numFmtId="0" fontId="3" fillId="0" borderId="4" applyFill="0">
      <alignment horizontal="center" vertical="center" wrapText="1" shrinkToFit="1"/>
    </xf>
    <xf numFmtId="0" fontId="2" fillId="4" borderId="36">
      <alignment horizontal="center" vertical="center" wrapText="1"/>
    </xf>
    <xf numFmtId="0" fontId="13" fillId="0" borderId="4" applyFill="0">
      <alignment vertical="center" wrapText="1"/>
    </xf>
    <xf numFmtId="0" fontId="1" fillId="11" borderId="2">
      <alignment horizontal="right" vertical="center" wrapText="1"/>
    </xf>
    <xf numFmtId="0" fontId="1" fillId="11" borderId="82">
      <alignment vertical="center" wrapText="1"/>
    </xf>
    <xf numFmtId="0" fontId="1" fillId="11" borderId="4">
      <alignment vertical="center" wrapText="1"/>
    </xf>
    <xf numFmtId="0" fontId="7" fillId="9" borderId="0" applyBorder="0">
      <alignment vertical="center" wrapText="1"/>
    </xf>
    <xf numFmtId="0" fontId="3" fillId="4" borderId="1">
      <alignment horizontal="center" vertical="center" wrapText="1"/>
    </xf>
    <xf numFmtId="0" fontId="3" fillId="4" borderId="2">
      <alignment horizontal="center" vertical="center" wrapText="1"/>
    </xf>
    <xf numFmtId="0" fontId="3" fillId="4" borderId="3">
      <alignment horizontal="center" vertical="center" wrapText="1"/>
    </xf>
    <xf numFmtId="0" fontId="3" fillId="0" borderId="9" applyFill="0">
      <alignment vertical="center" wrapText="1"/>
    </xf>
    <xf numFmtId="0" fontId="7" fillId="0" borderId="10" applyFill="0">
      <alignment vertical="center" wrapText="1"/>
    </xf>
    <xf numFmtId="0" fontId="7" fillId="0" borderId="4" applyFill="0">
      <alignment vertical="center" wrapText="1"/>
    </xf>
    <xf numFmtId="0" fontId="7" fillId="4" borderId="4">
      <alignment vertical="center" wrapText="1"/>
    </xf>
    <xf numFmtId="0" fontId="16" fillId="9" borderId="0" applyBorder="0">
      <alignment vertical="center" wrapText="1"/>
    </xf>
    <xf numFmtId="49" fontId="13" fillId="6" borderId="131">
      <alignment horizontal="center" vertical="center" wrapText="1"/>
      <protection locked="0"/>
    </xf>
    <xf numFmtId="4" fontId="13" fillId="8" borderId="155">
      <alignment horizontal="right" vertical="center" wrapText="1"/>
    </xf>
    <xf numFmtId="49" fontId="13" fillId="6" borderId="4">
      <alignment horizontal="center" vertical="center" wrapText="1"/>
    </xf>
    <xf numFmtId="0" fontId="53" fillId="9" borderId="0" applyBorder="0">
      <alignment horizontal="center" vertical="center" wrapText="1"/>
    </xf>
    <xf numFmtId="0" fontId="3" fillId="0" borderId="155" applyFill="0">
      <alignment horizontal="center" vertical="center" wrapText="1"/>
    </xf>
    <xf numFmtId="0" fontId="1" fillId="0" borderId="5" applyFill="0">
      <alignment horizontal="left" vertical="center" wrapText="1"/>
    </xf>
    <xf numFmtId="49" fontId="3" fillId="6" borderId="65">
      <alignment horizontal="center" vertical="center" wrapText="1"/>
      <protection locked="0"/>
    </xf>
    <xf numFmtId="4" fontId="3" fillId="6" borderId="5">
      <alignment horizontal="right" vertical="center" wrapText="1"/>
      <protection locked="0"/>
    </xf>
    <xf numFmtId="10" fontId="3" fillId="3" borderId="65">
      <alignment horizontal="right" vertical="center" wrapText="1"/>
      <protection locked="0"/>
    </xf>
    <xf numFmtId="4" fontId="3" fillId="8" borderId="65">
      <alignment horizontal="right" vertical="center" wrapText="1"/>
    </xf>
    <xf numFmtId="10" fontId="3" fillId="6" borderId="65">
      <alignment horizontal="right" vertical="center" wrapText="1"/>
    </xf>
    <xf numFmtId="4" fontId="3" fillId="6" borderId="156">
      <alignment horizontal="right" vertical="center" wrapText="1"/>
    </xf>
    <xf numFmtId="49" fontId="3" fillId="6" borderId="4">
      <alignment horizontal="center" vertical="center" wrapText="1"/>
    </xf>
    <xf numFmtId="49" fontId="3" fillId="6" borderId="65">
      <alignment horizontal="center" vertical="center" wrapText="1"/>
    </xf>
    <xf numFmtId="10" fontId="3" fillId="3" borderId="65">
      <alignment horizontal="right" vertical="center" wrapText="1"/>
    </xf>
    <xf numFmtId="49" fontId="3" fillId="6" borderId="157">
      <alignment horizontal="center" vertical="center" wrapText="1"/>
    </xf>
    <xf numFmtId="49" fontId="3" fillId="6" borderId="157">
      <alignment horizontal="center" vertical="center" wrapText="1"/>
      <protection locked="0"/>
    </xf>
    <xf numFmtId="0" fontId="1" fillId="11" borderId="19">
      <alignment vertical="center" wrapText="1"/>
    </xf>
    <xf numFmtId="0" fontId="1" fillId="11" borderId="91">
      <alignment vertical="center" wrapText="1"/>
    </xf>
    <xf numFmtId="0" fontId="54" fillId="0" borderId="0" applyFill="0" applyBorder="0">
      <alignment vertical="top"/>
    </xf>
    <xf numFmtId="0" fontId="54" fillId="0" borderId="0" applyFill="0" applyBorder="0">
      <alignment vertical="top" wrapText="1"/>
    </xf>
    <xf numFmtId="0" fontId="2" fillId="0" borderId="1" applyFill="0">
      <alignment horizontal="center" vertical="center" wrapText="1"/>
    </xf>
    <xf numFmtId="0" fontId="2" fillId="0" borderId="164" applyFill="0">
      <alignment horizontal="center" vertical="center" wrapText="1"/>
    </xf>
    <xf numFmtId="0" fontId="2" fillId="0" borderId="155" applyFill="0">
      <alignment horizontal="center" vertical="center" wrapText="1"/>
    </xf>
    <xf numFmtId="49" fontId="54" fillId="0" borderId="0" applyFill="0" applyBorder="0">
      <alignment vertical="top" wrapText="1"/>
    </xf>
    <xf numFmtId="49" fontId="1" fillId="3" borderId="27">
      <alignment horizontal="center" vertical="center" wrapText="1"/>
    </xf>
    <xf numFmtId="49" fontId="1" fillId="0" borderId="17" applyFill="0">
      <alignment horizontal="left" vertical="center" wrapText="1"/>
    </xf>
    <xf numFmtId="4" fontId="3" fillId="8" borderId="141">
      <alignment horizontal="right" vertical="center" wrapText="1"/>
    </xf>
    <xf numFmtId="4" fontId="3" fillId="8" borderId="165">
      <alignment horizontal="right" vertical="center" wrapText="1"/>
    </xf>
    <xf numFmtId="4" fontId="3" fillId="8" borderId="57">
      <alignment horizontal="right" vertical="center" wrapText="1"/>
    </xf>
    <xf numFmtId="49" fontId="1" fillId="0" borderId="12" applyFill="0">
      <alignment horizontal="left" vertical="center" wrapText="1"/>
    </xf>
    <xf numFmtId="49" fontId="3" fillId="6" borderId="11">
      <alignment horizontal="left" vertical="center" wrapText="1"/>
    </xf>
    <xf numFmtId="4" fontId="3" fillId="8" borderId="166">
      <alignment horizontal="right" vertical="center" wrapText="1"/>
    </xf>
    <xf numFmtId="4" fontId="3" fillId="8" borderId="36">
      <alignment horizontal="right" vertical="center" wrapText="1"/>
    </xf>
    <xf numFmtId="49" fontId="1" fillId="0" borderId="167" applyFill="0">
      <alignment horizontal="left" vertical="center" wrapText="1"/>
    </xf>
    <xf numFmtId="49" fontId="3" fillId="6" borderId="168">
      <alignment horizontal="left" vertical="center" wrapText="1"/>
    </xf>
    <xf numFmtId="4" fontId="3" fillId="8" borderId="168">
      <alignment horizontal="right" vertical="center" wrapText="1"/>
    </xf>
    <xf numFmtId="4" fontId="3" fillId="6" borderId="168">
      <alignment horizontal="right" vertical="center" wrapText="1"/>
    </xf>
    <xf numFmtId="4" fontId="3" fillId="8" borderId="169">
      <alignment horizontal="right" vertical="center" wrapText="1"/>
    </xf>
    <xf numFmtId="4" fontId="3" fillId="8" borderId="170">
      <alignment horizontal="right" vertical="center" wrapText="1"/>
    </xf>
    <xf numFmtId="49" fontId="1" fillId="0" borderId="171" applyFill="0">
      <alignment horizontal="left" vertical="center" wrapText="1"/>
    </xf>
    <xf numFmtId="49" fontId="3" fillId="6" borderId="172">
      <alignment horizontal="left" vertical="center" wrapText="1"/>
    </xf>
    <xf numFmtId="4" fontId="3" fillId="8" borderId="172">
      <alignment horizontal="right" vertical="center" wrapText="1"/>
    </xf>
    <xf numFmtId="4" fontId="3" fillId="6" borderId="172">
      <alignment horizontal="right" vertical="center" wrapText="1"/>
    </xf>
    <xf numFmtId="4" fontId="3" fillId="8" borderId="173">
      <alignment horizontal="right" vertical="center" wrapText="1"/>
    </xf>
    <xf numFmtId="4" fontId="3" fillId="8" borderId="174">
      <alignment horizontal="right" vertical="center" wrapText="1"/>
    </xf>
    <xf numFmtId="49" fontId="16" fillId="0" borderId="0" applyFill="0" applyBorder="0">
      <alignment horizontal="left" vertical="center" wrapText="1"/>
    </xf>
    <xf numFmtId="49" fontId="3" fillId="6" borderId="9">
      <alignment horizontal="left" vertical="center" wrapText="1"/>
    </xf>
    <xf numFmtId="4" fontId="13" fillId="8" borderId="9">
      <alignment horizontal="right" vertical="center" wrapText="1"/>
    </xf>
    <xf numFmtId="4" fontId="13" fillId="8" borderId="54">
      <alignment horizontal="right" vertical="center" wrapText="1"/>
    </xf>
    <xf numFmtId="49" fontId="16" fillId="0" borderId="12" applyFill="0">
      <alignment horizontal="left" vertical="center" wrapText="1"/>
    </xf>
    <xf numFmtId="4" fontId="13" fillId="8" borderId="36">
      <alignment horizontal="right" vertical="center" wrapText="1"/>
    </xf>
    <xf numFmtId="0" fontId="1" fillId="0" borderId="64" applyFill="0">
      <alignment horizontal="center" vertical="center" wrapText="1"/>
    </xf>
    <xf numFmtId="49" fontId="1" fillId="3" borderId="64">
      <alignment horizontal="center" vertical="center" wrapText="1"/>
    </xf>
    <xf numFmtId="0" fontId="16" fillId="0" borderId="12" applyFill="0">
      <alignment horizontal="left" vertical="center" wrapText="1"/>
    </xf>
    <xf numFmtId="49" fontId="1" fillId="3" borderId="27">
      <alignment horizontal="center" vertical="center" wrapText="1"/>
      <protection locked="0"/>
    </xf>
    <xf numFmtId="49" fontId="3" fillId="6" borderId="141">
      <alignment horizontal="left" vertical="center" wrapText="1"/>
      <protection locked="0"/>
    </xf>
    <xf numFmtId="4" fontId="3" fillId="6" borderId="141">
      <alignment horizontal="right" vertical="center" wrapText="1"/>
      <protection locked="0"/>
    </xf>
    <xf numFmtId="49" fontId="3" fillId="6" borderId="11">
      <alignment horizontal="left" vertical="center" wrapText="1"/>
      <protection locked="0"/>
    </xf>
    <xf numFmtId="49" fontId="3" fillId="6" borderId="168">
      <alignment horizontal="left" vertical="center" wrapText="1"/>
      <protection locked="0"/>
    </xf>
    <xf numFmtId="4" fontId="3" fillId="6" borderId="168">
      <alignment horizontal="right" vertical="center" wrapText="1"/>
      <protection locked="0"/>
    </xf>
    <xf numFmtId="49" fontId="3" fillId="6" borderId="172">
      <alignment horizontal="left" vertical="center" wrapText="1"/>
      <protection locked="0"/>
    </xf>
    <xf numFmtId="4" fontId="3" fillId="6" borderId="172">
      <alignment horizontal="right" vertical="center" wrapText="1"/>
      <protection locked="0"/>
    </xf>
    <xf numFmtId="49" fontId="3" fillId="6" borderId="9">
      <alignment horizontal="left" vertical="center" wrapText="1"/>
      <protection locked="0"/>
    </xf>
    <xf numFmtId="49" fontId="1" fillId="3" borderId="64">
      <alignment horizontal="center" vertical="center" wrapText="1"/>
      <protection locked="0"/>
    </xf>
    <xf numFmtId="49" fontId="2" fillId="11" borderId="91">
      <alignment horizontal="left" vertical="center" wrapText="1"/>
    </xf>
    <xf numFmtId="49" fontId="2" fillId="11" borderId="4">
      <alignment horizontal="left" vertical="center" wrapText="1"/>
    </xf>
    <xf numFmtId="4" fontId="29" fillId="6" borderId="16">
      <alignment horizontal="right" vertical="center" wrapText="1"/>
      <protection locked="0"/>
    </xf>
    <xf numFmtId="4" fontId="29" fillId="6" borderId="16">
      <alignment horizontal="right" vertical="center" wrapText="1"/>
    </xf>
    <xf numFmtId="4" fontId="29" fillId="6" borderId="155">
      <alignment horizontal="right" vertical="center" wrapText="1"/>
    </xf>
    <xf numFmtId="49" fontId="2" fillId="6" borderId="4">
      <alignment vertical="center" wrapText="1"/>
    </xf>
    <xf numFmtId="4" fontId="29" fillId="8" borderId="155">
      <alignment horizontal="right" vertical="center" wrapText="1"/>
    </xf>
    <xf numFmtId="49" fontId="3" fillId="3" borderId="16">
      <alignment horizontal="center" vertical="center" wrapText="1"/>
      <protection locked="0"/>
    </xf>
    <xf numFmtId="0" fontId="29" fillId="0" borderId="175" applyFill="0">
      <alignment horizontal="left" vertical="center" wrapText="1"/>
    </xf>
    <xf numFmtId="0" fontId="29" fillId="0" borderId="176" applyFill="0">
      <alignment horizontal="left" vertical="center" wrapText="1"/>
    </xf>
    <xf numFmtId="0" fontId="29" fillId="0" borderId="177" applyFill="0">
      <alignment horizontal="left" vertical="center" wrapText="1"/>
    </xf>
    <xf numFmtId="0" fontId="13" fillId="0" borderId="178" applyFill="0">
      <alignment horizontal="center" vertical="center" wrapText="1"/>
    </xf>
    <xf numFmtId="4" fontId="29" fillId="8" borderId="175">
      <alignment horizontal="right" vertical="center" wrapText="1"/>
    </xf>
    <xf numFmtId="49" fontId="1" fillId="0" borderId="5" applyFill="0">
      <alignment horizontal="center" vertical="center" wrapText="1"/>
    </xf>
    <xf numFmtId="49" fontId="1" fillId="0" borderId="37" applyFill="0">
      <alignment horizontal="center" vertical="center" wrapText="1"/>
    </xf>
    <xf numFmtId="0" fontId="29" fillId="13" borderId="19">
      <alignment horizontal="left" vertical="center" wrapText="1"/>
    </xf>
    <xf numFmtId="0" fontId="13" fillId="13" borderId="10">
      <alignment horizontal="center" vertical="center" wrapText="1"/>
    </xf>
    <xf numFmtId="0" fontId="2" fillId="0" borderId="178" applyFill="0">
      <alignment horizontal="left" vertical="center" wrapText="1"/>
    </xf>
    <xf numFmtId="0" fontId="2" fillId="0" borderId="178" applyFill="0">
      <alignment horizontal="center" vertical="center" wrapText="1"/>
    </xf>
    <xf numFmtId="10" fontId="2" fillId="6" borderId="175">
      <alignment horizontal="right" vertical="center" wrapText="1"/>
      <protection locked="0"/>
    </xf>
    <xf numFmtId="49" fontId="2" fillId="6" borderId="5">
      <alignment horizontal="center" vertical="center" wrapText="1"/>
      <protection locked="0"/>
    </xf>
    <xf numFmtId="49" fontId="2" fillId="6" borderId="37">
      <alignment horizontal="center" vertical="center" wrapText="1"/>
      <protection locked="0"/>
    </xf>
    <xf numFmtId="10" fontId="2" fillId="4" borderId="1">
      <alignment horizontal="right" vertical="center" wrapText="1"/>
    </xf>
    <xf numFmtId="49" fontId="2" fillId="4" borderId="4">
      <alignment horizontal="center" vertical="center" wrapText="1"/>
    </xf>
    <xf numFmtId="4" fontId="2" fillId="6" borderId="175">
      <alignment horizontal="right" vertical="center" wrapText="1"/>
      <protection locked="0"/>
    </xf>
    <xf numFmtId="4" fontId="2" fillId="4" borderId="1">
      <alignment horizontal="right" vertical="center" wrapText="1"/>
    </xf>
    <xf numFmtId="4" fontId="3" fillId="6" borderId="175">
      <alignment horizontal="right" vertical="center" wrapText="1"/>
      <protection locked="0"/>
    </xf>
    <xf numFmtId="4" fontId="3" fillId="4" borderId="1">
      <alignment horizontal="right" vertical="center" wrapText="1"/>
    </xf>
    <xf numFmtId="49" fontId="1" fillId="0" borderId="66" applyFill="0">
      <alignment horizontal="center" vertical="center" wrapText="1"/>
    </xf>
    <xf numFmtId="49" fontId="1" fillId="0" borderId="44" applyFill="0">
      <alignment horizontal="center" vertical="center" wrapText="1"/>
    </xf>
    <xf numFmtId="49" fontId="2" fillId="4" borderId="19">
      <alignment horizontal="center" vertical="center" wrapText="1"/>
    </xf>
    <xf numFmtId="49" fontId="2" fillId="4" borderId="5">
      <alignment horizontal="center" vertical="center" wrapText="1"/>
    </xf>
    <xf numFmtId="49" fontId="2" fillId="4" borderId="37">
      <alignment horizontal="center" vertical="center" wrapText="1"/>
    </xf>
    <xf numFmtId="10" fontId="2" fillId="4" borderId="175">
      <alignment horizontal="right" vertical="center" wrapText="1"/>
    </xf>
    <xf numFmtId="4" fontId="3" fillId="4" borderId="175">
      <alignment horizontal="right" vertical="center" wrapText="1"/>
    </xf>
    <xf numFmtId="4" fontId="2" fillId="4" borderId="175">
      <alignment horizontal="right" vertical="center" wrapText="1"/>
    </xf>
    <xf numFmtId="49" fontId="2" fillId="0" borderId="22" applyFill="0">
      <alignment horizontal="center" vertical="center" wrapText="1"/>
    </xf>
    <xf numFmtId="49" fontId="2" fillId="0" borderId="21" applyFill="0">
      <alignment horizontal="center" vertical="center" wrapText="1"/>
    </xf>
    <xf numFmtId="4" fontId="2" fillId="0" borderId="16" applyFill="0">
      <alignment vertical="center" wrapText="1"/>
    </xf>
    <xf numFmtId="49" fontId="2" fillId="4" borderId="16">
      <alignment horizontal="center" vertical="center" wrapText="1"/>
    </xf>
    <xf numFmtId="0" fontId="2" fillId="4" borderId="16">
      <alignment horizontal="left" vertical="center" wrapText="1"/>
    </xf>
    <xf numFmtId="49" fontId="2" fillId="3" borderId="19">
      <alignment horizontal="left" vertical="center" wrapText="1"/>
    </xf>
    <xf numFmtId="0" fontId="3" fillId="13" borderId="37">
      <alignment horizontal="left" vertical="center" wrapText="1"/>
    </xf>
    <xf numFmtId="49" fontId="2" fillId="0" borderId="47" applyFill="0">
      <alignment horizontal="center" vertical="center" wrapText="1"/>
    </xf>
    <xf numFmtId="49" fontId="29" fillId="4" borderId="16">
      <alignment horizontal="center" vertical="center" wrapText="1"/>
    </xf>
    <xf numFmtId="0" fontId="2" fillId="4" borderId="22">
      <alignment horizontal="left" vertical="center" wrapText="1"/>
    </xf>
    <xf numFmtId="0" fontId="2" fillId="8" borderId="16">
      <alignment horizontal="left" vertical="center" wrapText="1"/>
    </xf>
    <xf numFmtId="0" fontId="2" fillId="11" borderId="37">
      <alignment horizontal="center" vertical="center" wrapText="1"/>
    </xf>
    <xf numFmtId="49" fontId="29" fillId="0" borderId="21" applyFill="0">
      <alignment horizontal="center" vertical="center" wrapText="1"/>
    </xf>
    <xf numFmtId="0" fontId="29" fillId="0" borderId="21" applyFill="0">
      <alignment vertical="center" wrapText="1"/>
    </xf>
    <xf numFmtId="0" fontId="29" fillId="0" borderId="21" applyFill="0">
      <alignment horizontal="center" vertical="center" wrapText="1"/>
    </xf>
    <xf numFmtId="4" fontId="2" fillId="0" borderId="21" applyFill="0">
      <alignment vertical="center" wrapText="1"/>
    </xf>
    <xf numFmtId="49" fontId="29" fillId="0" borderId="22" applyFill="0">
      <alignment horizontal="center" vertical="center" wrapText="1"/>
    </xf>
    <xf numFmtId="49" fontId="29" fillId="0" borderId="47" applyFill="0">
      <alignment horizontal="center" vertical="center" wrapText="1"/>
    </xf>
    <xf numFmtId="49" fontId="29" fillId="11" borderId="18">
      <alignment horizontal="left" vertical="center" wrapText="1"/>
    </xf>
    <xf numFmtId="4" fontId="2" fillId="3" borderId="16">
      <alignment horizontal="right" vertical="center" wrapText="1"/>
    </xf>
    <xf numFmtId="0" fontId="29" fillId="0" borderId="16" applyFill="0">
      <alignment vertical="center" wrapText="1"/>
    </xf>
    <xf numFmtId="4" fontId="2" fillId="6" borderId="19">
      <alignment vertical="center" wrapText="1"/>
      <protection locked="0"/>
    </xf>
    <xf numFmtId="4" fontId="2" fillId="8" borderId="19">
      <alignment vertical="center" wrapText="1"/>
    </xf>
    <xf numFmtId="4" fontId="29" fillId="8" borderId="19">
      <alignment vertical="center" wrapText="1"/>
    </xf>
    <xf numFmtId="49" fontId="29" fillId="18" borderId="16">
      <alignment horizontal="center" vertical="center" wrapText="1"/>
    </xf>
    <xf numFmtId="0" fontId="29" fillId="18" borderId="16">
      <alignment vertical="center" wrapText="1"/>
    </xf>
    <xf numFmtId="0" fontId="29" fillId="18" borderId="16">
      <alignment horizontal="center" vertical="center" wrapText="1"/>
    </xf>
    <xf numFmtId="16" fontId="26" fillId="0" borderId="0" quotePrefix="1" applyFill="0" applyBorder="0">
      <alignment vertical="center" wrapText="1"/>
    </xf>
    <xf numFmtId="49" fontId="3" fillId="0" borderId="22" quotePrefix="1" applyFill="0">
      <alignment horizontal="center" vertical="center" wrapText="1"/>
    </xf>
    <xf numFmtId="49" fontId="3" fillId="3" borderId="22">
      <alignment horizontal="center" vertical="center" wrapText="1"/>
    </xf>
    <xf numFmtId="0" fontId="52" fillId="13" borderId="37">
      <alignment horizontal="left" vertical="center" wrapText="1"/>
    </xf>
    <xf numFmtId="49" fontId="3" fillId="3" borderId="47">
      <alignment horizontal="center" vertical="center" wrapText="1"/>
    </xf>
    <xf numFmtId="0" fontId="3" fillId="0" borderId="0" applyFill="0" applyBorder="0">
      <alignment horizontal="left" vertical="top" wrapText="1"/>
    </xf>
    <xf numFmtId="0" fontId="55" fillId="11" borderId="19">
      <alignment vertical="center" wrapText="1"/>
    </xf>
    <xf numFmtId="49" fontId="18" fillId="11" borderId="5">
      <alignment horizontal="center" vertical="center" wrapText="1"/>
    </xf>
    <xf numFmtId="0" fontId="52" fillId="13" borderId="18">
      <alignment horizontal="left" vertical="center" wrapText="1"/>
    </xf>
    <xf numFmtId="0" fontId="52" fillId="13" borderId="43">
      <alignment horizontal="left" vertical="center" wrapText="1"/>
    </xf>
    <xf numFmtId="49" fontId="3" fillId="3" borderId="38">
      <alignment horizontal="center" vertical="center" wrapText="1"/>
    </xf>
    <xf numFmtId="0" fontId="3" fillId="0" borderId="179" applyFill="0">
      <alignment horizontal="left" vertical="center" wrapText="1"/>
    </xf>
    <xf numFmtId="0" fontId="52" fillId="13" borderId="42">
      <alignment horizontal="left" vertical="center" wrapText="1"/>
    </xf>
    <xf numFmtId="0" fontId="52" fillId="13" borderId="35">
      <alignment horizontal="left" vertical="center" wrapText="1"/>
    </xf>
    <xf numFmtId="0" fontId="3" fillId="0" borderId="180" applyFill="0">
      <alignment horizontal="left" vertical="center" wrapText="1"/>
    </xf>
    <xf numFmtId="0" fontId="52" fillId="13" borderId="0" applyBorder="0">
      <alignment horizontal="left" vertical="center" wrapText="1"/>
    </xf>
    <xf numFmtId="0" fontId="52" fillId="13" borderId="46">
      <alignment horizontal="left" vertical="center" wrapText="1"/>
    </xf>
    <xf numFmtId="0" fontId="52" fillId="13" borderId="38">
      <alignment horizontal="left" vertical="center" wrapText="1"/>
    </xf>
    <xf numFmtId="49" fontId="3" fillId="3" borderId="21">
      <alignment horizontal="center" vertical="center" wrapText="1"/>
    </xf>
    <xf numFmtId="49" fontId="3" fillId="3" borderId="20">
      <alignment horizontal="center" vertical="center" wrapText="1"/>
    </xf>
    <xf numFmtId="0" fontId="52" fillId="13" borderId="20">
      <alignment horizontal="left" vertical="center" wrapText="1"/>
    </xf>
    <xf numFmtId="49" fontId="3" fillId="3" borderId="22">
      <alignment horizontal="center" vertical="center" wrapText="1"/>
      <protection locked="0"/>
    </xf>
    <xf numFmtId="49" fontId="3" fillId="3" borderId="47">
      <alignment horizontal="center" vertical="center" wrapText="1"/>
      <protection locked="0"/>
    </xf>
    <xf numFmtId="49" fontId="3" fillId="6" borderId="16">
      <alignment horizontal="left" vertical="center" wrapText="1"/>
      <protection locked="0"/>
    </xf>
    <xf numFmtId="49" fontId="3" fillId="3" borderId="38">
      <alignment horizontal="center" vertical="center" wrapText="1"/>
      <protection locked="0"/>
    </xf>
    <xf numFmtId="49" fontId="3" fillId="3" borderId="21">
      <alignment horizontal="center" vertical="center" wrapText="1"/>
      <protection locked="0"/>
    </xf>
    <xf numFmtId="49" fontId="3" fillId="3" borderId="20">
      <alignment horizontal="center" vertical="center" wrapText="1"/>
      <protection locked="0"/>
    </xf>
    <xf numFmtId="0" fontId="15" fillId="11" borderId="5">
      <alignment vertical="center"/>
    </xf>
    <xf numFmtId="0" fontId="18" fillId="11" borderId="5">
      <alignment horizontal="left" vertical="center" wrapText="1"/>
    </xf>
    <xf numFmtId="0" fontId="1" fillId="11" borderId="37">
      <alignment vertical="center" wrapText="1"/>
    </xf>
    <xf numFmtId="16" fontId="2" fillId="13" borderId="20" quotePrefix="1">
      <alignment horizontal="center" vertical="center" wrapText="1"/>
    </xf>
    <xf numFmtId="0" fontId="2" fillId="13" borderId="20" quotePrefix="1">
      <alignment horizontal="center" vertical="center" wrapText="1"/>
    </xf>
    <xf numFmtId="49" fontId="29" fillId="0" borderId="5" applyFill="0">
      <alignment horizontal="left" vertical="center" wrapText="1"/>
    </xf>
    <xf numFmtId="0" fontId="2" fillId="13" borderId="20">
      <alignment horizontal="center" vertical="center" wrapText="1"/>
    </xf>
    <xf numFmtId="49" fontId="2" fillId="13" borderId="19">
      <alignment horizontal="left" vertical="center" wrapText="1"/>
    </xf>
    <xf numFmtId="49" fontId="2" fillId="13" borderId="5">
      <alignment horizontal="left" vertical="center" wrapText="1"/>
    </xf>
    <xf numFmtId="49" fontId="2" fillId="13" borderId="37">
      <alignment horizontal="left" vertical="center" wrapText="1"/>
    </xf>
    <xf numFmtId="0" fontId="52" fillId="13" borderId="16">
      <alignment horizontal="left" vertical="center" wrapText="1"/>
    </xf>
    <xf numFmtId="0" fontId="52" fillId="13" borderId="19">
      <alignment horizontal="left" vertical="center" wrapText="1"/>
    </xf>
    <xf numFmtId="49" fontId="13" fillId="0" borderId="0" applyFill="0" applyBorder="0">
      <alignment horizontal="center" wrapText="1"/>
    </xf>
    <xf numFmtId="49" fontId="13" fillId="0" borderId="28" applyFill="0">
      <alignment horizontal="center" vertical="center" wrapText="1"/>
    </xf>
    <xf numFmtId="49" fontId="3" fillId="4" borderId="4">
      <alignment horizontal="right" vertical="center" wrapText="1"/>
    </xf>
    <xf numFmtId="49" fontId="14" fillId="0" borderId="10" applyFill="0">
      <alignment horizontal="center" vertical="center" wrapText="1"/>
    </xf>
    <xf numFmtId="49" fontId="3" fillId="0" borderId="36" applyFill="0">
      <alignment horizontal="center" vertical="center" wrapText="1"/>
    </xf>
    <xf numFmtId="49" fontId="3" fillId="0" borderId="54" applyFill="0">
      <alignment horizontal="center" vertical="center" wrapText="1"/>
    </xf>
    <xf numFmtId="49" fontId="3" fillId="4" borderId="36">
      <alignment horizontal="right" vertical="center" wrapText="1"/>
    </xf>
    <xf numFmtId="4" fontId="3" fillId="8" borderId="1">
      <alignment horizontal="right" vertical="center" wrapText="1"/>
    </xf>
    <xf numFmtId="0" fontId="15" fillId="11" borderId="11">
      <alignment horizontal="left" vertical="center" wrapText="1"/>
    </xf>
    <xf numFmtId="0" fontId="15" fillId="11" borderId="12">
      <alignment horizontal="left" vertical="center" wrapText="1"/>
    </xf>
    <xf numFmtId="0" fontId="15" fillId="11" borderId="13">
      <alignment horizontal="left" vertical="center" wrapText="1"/>
    </xf>
    <xf numFmtId="49" fontId="13" fillId="0" borderId="36" applyFill="0">
      <alignment horizontal="left" vertical="center" wrapText="1"/>
    </xf>
    <xf numFmtId="49" fontId="13" fillId="0" borderId="28" applyFill="0">
      <alignment horizontal="left" vertical="center" wrapText="1"/>
    </xf>
    <xf numFmtId="0" fontId="15" fillId="11" borderId="3">
      <alignment horizontal="left" vertical="center" wrapText="1"/>
    </xf>
    <xf numFmtId="0" fontId="76" fillId="0" borderId="0" applyFill="0" applyBorder="0">
      <alignment horizontal="center" vertical="top"/>
    </xf>
    <xf numFmtId="0" fontId="3" fillId="8" borderId="0" applyBorder="0">
      <alignment horizontal="left" vertical="center" wrapText="1"/>
    </xf>
    <xf numFmtId="0" fontId="13" fillId="0" borderId="36" applyFill="0">
      <alignment horizontal="left" vertical="center" wrapText="1"/>
    </xf>
    <xf numFmtId="0" fontId="13" fillId="0" borderId="28" applyFill="0">
      <alignment horizontal="left" vertical="center" wrapText="1"/>
    </xf>
    <xf numFmtId="0" fontId="56" fillId="0" borderId="4" applyFill="0">
      <alignment horizontal="left" vertical="center" wrapText="1"/>
    </xf>
    <xf numFmtId="0" fontId="56" fillId="0" borderId="4" applyFill="0">
      <alignment horizontal="center" vertical="center" wrapText="1"/>
    </xf>
    <xf numFmtId="49" fontId="56" fillId="0" borderId="4" applyFill="0">
      <alignment horizontal="center" vertical="center" wrapText="1"/>
    </xf>
    <xf numFmtId="4" fontId="3" fillId="3" borderId="4">
      <alignment horizontal="right" vertical="center" wrapText="1"/>
      <protection locked="0"/>
    </xf>
    <xf numFmtId="0" fontId="57" fillId="0" borderId="4" applyFill="0">
      <alignment horizontal="left" vertical="center" wrapText="1"/>
    </xf>
    <xf numFmtId="0" fontId="57" fillId="0" borderId="4" applyFill="0">
      <alignment horizontal="center" vertical="center" wrapText="1"/>
    </xf>
    <xf numFmtId="49" fontId="57" fillId="0" borderId="4" applyFill="0">
      <alignment horizontal="center" vertical="center" wrapText="1"/>
    </xf>
    <xf numFmtId="4" fontId="13" fillId="3" borderId="4">
      <alignment horizontal="right" vertical="center" wrapText="1"/>
      <protection locked="0"/>
    </xf>
    <xf numFmtId="0" fontId="58" fillId="0" borderId="0" applyFill="0" applyBorder="0">
      <alignment horizontal="left" vertical="center" wrapText="1"/>
    </xf>
    <xf numFmtId="0" fontId="59" fillId="0" borderId="0" applyFill="0" applyBorder="0">
      <alignment horizontal="left" vertical="center" wrapText="1"/>
    </xf>
    <xf numFmtId="0" fontId="7" fillId="0" borderId="0" applyFill="0" applyBorder="0">
      <alignment horizontal="left" vertical="center" wrapText="1"/>
    </xf>
    <xf numFmtId="0" fontId="7" fillId="0" borderId="41" applyFill="0">
      <alignment vertical="center" wrapText="1"/>
    </xf>
    <xf numFmtId="49" fontId="7" fillId="6" borderId="41">
      <alignment vertical="center" wrapText="1"/>
      <protection locked="0"/>
    </xf>
    <xf numFmtId="0" fontId="56" fillId="0" borderId="108" applyFill="0">
      <alignment vertical="center" wrapText="1"/>
    </xf>
    <xf numFmtId="0" fontId="6" fillId="0" borderId="15" applyFill="0">
      <alignment horizontal="left" vertical="center" wrapText="1"/>
    </xf>
    <xf numFmtId="0" fontId="57" fillId="0" borderId="1" applyFill="0">
      <alignment vertical="center" wrapText="1"/>
    </xf>
    <xf numFmtId="0" fontId="57" fillId="0" borderId="2" applyFill="0">
      <alignment vertical="center" wrapText="1"/>
    </xf>
    <xf numFmtId="0" fontId="57" fillId="0" borderId="3" applyFill="0">
      <alignment vertical="center" wrapText="1"/>
    </xf>
    <xf numFmtId="0" fontId="56" fillId="0" borderId="0" applyFill="0" applyBorder="0">
      <alignment horizontal="left" vertical="center" wrapText="1"/>
    </xf>
    <xf numFmtId="0" fontId="56" fillId="0" borderId="41" applyFill="0">
      <alignment horizontal="center" vertical="center" wrapText="1"/>
    </xf>
    <xf numFmtId="49" fontId="56" fillId="6" borderId="41">
      <alignment horizontal="center" vertical="center" wrapText="1"/>
      <protection locked="0"/>
    </xf>
    <xf numFmtId="0" fontId="56" fillId="0" borderId="0" applyFill="0" applyBorder="0">
      <alignment horizontal="center" vertical="center" wrapText="1"/>
    </xf>
    <xf numFmtId="4" fontId="3" fillId="0" borderId="5" applyFill="0">
      <alignment horizontal="left" vertical="center" wrapText="1"/>
    </xf>
    <xf numFmtId="4" fontId="3" fillId="0" borderId="37" applyFill="0">
      <alignment horizontal="left" vertical="center" wrapText="1"/>
    </xf>
    <xf numFmtId="4" fontId="13" fillId="6" borderId="19">
      <alignment horizontal="right" vertical="center" wrapText="1"/>
      <protection locked="0"/>
    </xf>
    <xf numFmtId="49" fontId="29" fillId="9" borderId="0" applyBorder="0">
      <alignment horizontal="left" vertical="center" wrapText="1"/>
    </xf>
    <xf numFmtId="49" fontId="2" fillId="0" borderId="16" applyFill="0">
      <alignment vertical="center" wrapText="1"/>
    </xf>
    <xf numFmtId="0" fontId="29" fillId="14" borderId="37">
      <alignment vertical="center" wrapText="1"/>
    </xf>
    <xf numFmtId="0" fontId="29" fillId="14" borderId="19">
      <alignment horizontal="left" vertical="center" wrapText="1"/>
    </xf>
    <xf numFmtId="0" fontId="29" fillId="14" borderId="37">
      <alignment horizontal="left" vertical="center" wrapText="1"/>
    </xf>
    <xf numFmtId="4" fontId="29" fillId="8" borderId="16">
      <alignment horizontal="right" vertical="center" wrapText="1" shrinkToFit="1"/>
    </xf>
    <xf numFmtId="0" fontId="29" fillId="14" borderId="19">
      <alignment vertical="center" wrapText="1"/>
    </xf>
    <xf numFmtId="0" fontId="29" fillId="14" borderId="5">
      <alignment horizontal="left" vertical="center" wrapText="1"/>
    </xf>
    <xf numFmtId="49" fontId="29" fillId="0" borderId="4" applyFill="0">
      <alignment horizontal="left" vertical="center" wrapText="1"/>
    </xf>
    <xf numFmtId="4" fontId="29" fillId="6" borderId="16">
      <alignment horizontal="right" vertical="center" wrapText="1" shrinkToFit="1"/>
      <protection locked="0"/>
    </xf>
    <xf numFmtId="4" fontId="2" fillId="6" borderId="16">
      <alignment horizontal="right" vertical="center" wrapText="1" shrinkToFit="1"/>
      <protection locked="0"/>
    </xf>
    <xf numFmtId="0" fontId="29" fillId="8" borderId="16">
      <alignment horizontal="right" vertical="center" wrapText="1" shrinkToFit="1"/>
    </xf>
    <xf numFmtId="0" fontId="13" fillId="8" borderId="16">
      <alignment horizontal="right" vertical="center" wrapText="1" shrinkToFit="1"/>
    </xf>
    <xf numFmtId="0" fontId="29" fillId="0" borderId="22" applyFill="0">
      <alignment horizontal="center" vertical="center" wrapText="1"/>
    </xf>
    <xf numFmtId="0" fontId="29" fillId="0" borderId="47" applyFill="0">
      <alignment horizontal="center" vertical="center" wrapText="1"/>
    </xf>
    <xf numFmtId="49" fontId="2" fillId="0" borderId="36" applyFill="0">
      <alignment horizontal="center" vertical="center" wrapText="1"/>
    </xf>
    <xf numFmtId="49" fontId="2" fillId="0" borderId="28" applyFill="0">
      <alignment horizontal="center" vertical="center" wrapText="1"/>
    </xf>
    <xf numFmtId="1" fontId="2" fillId="0" borderId="16" applyFill="0">
      <alignment horizontal="center" vertical="center" wrapText="1"/>
    </xf>
    <xf numFmtId="10" fontId="29" fillId="6" borderId="16">
      <alignment horizontal="right" vertical="center" wrapText="1"/>
      <protection locked="0"/>
    </xf>
    <xf numFmtId="174" fontId="29" fillId="8" borderId="16">
      <alignment horizontal="right" vertical="center" wrapText="1"/>
    </xf>
    <xf numFmtId="10" fontId="29" fillId="6" borderId="16">
      <alignment horizontal="right" vertical="center" wrapText="1"/>
    </xf>
    <xf numFmtId="10" fontId="29" fillId="8" borderId="16">
      <alignment horizontal="right" vertical="center" wrapText="1"/>
    </xf>
    <xf numFmtId="9" fontId="2" fillId="8" borderId="16">
      <alignment horizontal="right" vertical="center" wrapText="1"/>
    </xf>
    <xf numFmtId="0" fontId="29" fillId="0" borderId="2" applyFill="0">
      <alignment horizontal="left" vertical="center" wrapText="1"/>
    </xf>
    <xf numFmtId="0" fontId="2" fillId="0" borderId="2" applyFill="0">
      <alignment horizontal="center" vertical="center" wrapText="1"/>
    </xf>
    <xf numFmtId="0" fontId="2" fillId="9" borderId="4">
      <alignment horizontal="center" vertical="center" wrapText="1"/>
    </xf>
    <xf numFmtId="0" fontId="2" fillId="0" borderId="3" applyFill="0">
      <alignment horizontal="center" vertical="center" wrapText="1"/>
    </xf>
    <xf numFmtId="0" fontId="2" fillId="0" borderId="4" applyFill="0">
      <alignment vertical="top" wrapText="1"/>
    </xf>
    <xf numFmtId="0" fontId="2" fillId="8" borderId="22">
      <alignment horizontal="center" vertical="center" wrapText="1"/>
    </xf>
    <xf numFmtId="1" fontId="2" fillId="0" borderId="181" applyFill="0">
      <alignment horizontal="center" vertical="center" wrapText="1"/>
    </xf>
    <xf numFmtId="1" fontId="2" fillId="0" borderId="182" applyFill="0">
      <alignment horizontal="right" vertical="center" wrapText="1"/>
    </xf>
    <xf numFmtId="10" fontId="29" fillId="6" borderId="182">
      <alignment horizontal="right" vertical="center" wrapText="1"/>
      <protection locked="0"/>
    </xf>
    <xf numFmtId="4" fontId="29" fillId="8" borderId="182">
      <alignment horizontal="right" vertical="center" wrapText="1"/>
    </xf>
    <xf numFmtId="4" fontId="2" fillId="6" borderId="182">
      <alignment horizontal="right" vertical="center" wrapText="1"/>
      <protection locked="0"/>
    </xf>
    <xf numFmtId="4" fontId="29" fillId="6" borderId="182">
      <alignment horizontal="right" vertical="center" wrapText="1"/>
      <protection locked="0"/>
    </xf>
    <xf numFmtId="0" fontId="2" fillId="0" borderId="182" applyFill="0">
      <alignment horizontal="right" vertical="center" wrapText="1"/>
    </xf>
    <xf numFmtId="4" fontId="2" fillId="8" borderId="182">
      <alignment horizontal="right" vertical="center" wrapText="1"/>
    </xf>
    <xf numFmtId="4" fontId="2" fillId="0" borderId="182" applyFill="0">
      <alignment horizontal="right" vertical="center" wrapText="1"/>
    </xf>
    <xf numFmtId="10" fontId="29" fillId="0" borderId="182" applyFill="0">
      <alignment horizontal="right" vertical="center" wrapText="1"/>
    </xf>
    <xf numFmtId="10" fontId="2" fillId="8" borderId="182">
      <alignment horizontal="right" vertical="center" wrapText="1"/>
    </xf>
    <xf numFmtId="2" fontId="2" fillId="8" borderId="182">
      <alignment horizontal="right" vertical="center" wrapText="1"/>
    </xf>
    <xf numFmtId="181" fontId="29" fillId="8" borderId="182">
      <alignment horizontal="right" vertical="center" wrapText="1"/>
    </xf>
    <xf numFmtId="0" fontId="2" fillId="8" borderId="47">
      <alignment horizontal="center" vertical="center" wrapText="1"/>
    </xf>
    <xf numFmtId="1" fontId="2" fillId="0" borderId="3" applyFill="0">
      <alignment horizontal="center" vertical="center" wrapText="1"/>
    </xf>
    <xf numFmtId="10" fontId="29" fillId="6" borderId="4">
      <alignment horizontal="right" vertical="center" wrapText="1"/>
      <protection locked="0"/>
    </xf>
    <xf numFmtId="174" fontId="29" fillId="0" borderId="4" applyFill="0">
      <alignment horizontal="right" vertical="center" wrapText="1"/>
    </xf>
    <xf numFmtId="2" fontId="2" fillId="8" borderId="4">
      <alignment horizontal="right" vertical="center" wrapText="1"/>
    </xf>
    <xf numFmtId="181" fontId="29" fillId="8" borderId="4">
      <alignment horizontal="right" vertical="center" wrapText="1"/>
    </xf>
    <xf numFmtId="1" fontId="2" fillId="0" borderId="182" applyFill="0">
      <alignment horizontal="center" vertical="center" wrapText="1"/>
    </xf>
    <xf numFmtId="174" fontId="29" fillId="8" borderId="4">
      <alignment horizontal="right" vertical="center" wrapText="1"/>
    </xf>
    <xf numFmtId="10" fontId="29" fillId="6" borderId="4">
      <alignment horizontal="right" vertical="center" wrapText="1"/>
    </xf>
    <xf numFmtId="4" fontId="2" fillId="6" borderId="4">
      <alignment vertical="center" wrapText="1"/>
    </xf>
    <xf numFmtId="0" fontId="2" fillId="8" borderId="21">
      <alignment horizontal="center" vertical="center" wrapText="1"/>
    </xf>
    <xf numFmtId="0" fontId="3" fillId="9" borderId="183">
      <alignment horizontal="center" vertical="center" wrapText="1"/>
    </xf>
    <xf numFmtId="0" fontId="3" fillId="9" borderId="184">
      <alignment horizontal="center" vertical="center" wrapText="1"/>
    </xf>
    <xf numFmtId="0" fontId="3" fillId="9" borderId="185">
      <alignment horizontal="center" vertical="center" wrapText="1"/>
    </xf>
    <xf numFmtId="0" fontId="3" fillId="9" borderId="16">
      <alignment horizontal="center" vertical="center" wrapText="1"/>
    </xf>
    <xf numFmtId="0" fontId="3" fillId="14" borderId="183">
      <alignment horizontal="center" vertical="center" wrapText="1"/>
    </xf>
    <xf numFmtId="0" fontId="3" fillId="14" borderId="183">
      <alignment horizontal="left" vertical="center" wrapText="1"/>
    </xf>
    <xf numFmtId="0" fontId="3" fillId="14" borderId="183">
      <alignment horizontal="right" vertical="center" wrapText="1"/>
    </xf>
    <xf numFmtId="3" fontId="3" fillId="14" borderId="186">
      <alignment vertical="center" wrapText="1"/>
    </xf>
    <xf numFmtId="3" fontId="3" fillId="14" borderId="187">
      <alignment vertical="center" wrapText="1"/>
    </xf>
    <xf numFmtId="3" fontId="3" fillId="14" borderId="188">
      <alignment vertical="center" wrapText="1"/>
    </xf>
    <xf numFmtId="0" fontId="3" fillId="9" borderId="183">
      <alignment horizontal="left" vertical="center" wrapText="1"/>
    </xf>
    <xf numFmtId="4" fontId="3" fillId="6" borderId="183">
      <alignment horizontal="right" vertical="center" wrapText="1"/>
      <protection locked="0"/>
    </xf>
    <xf numFmtId="4" fontId="3" fillId="8" borderId="183">
      <alignment horizontal="right" vertical="center" wrapText="1"/>
    </xf>
    <xf numFmtId="0" fontId="3" fillId="9" borderId="184">
      <alignment horizontal="left" vertical="center" wrapText="1"/>
    </xf>
    <xf numFmtId="4" fontId="3" fillId="6" borderId="184">
      <alignment horizontal="right" vertical="center" wrapText="1"/>
      <protection locked="0"/>
    </xf>
    <xf numFmtId="0" fontId="3" fillId="9" borderId="189">
      <alignment horizontal="center" vertical="center" wrapText="1"/>
    </xf>
    <xf numFmtId="0" fontId="3" fillId="9" borderId="190">
      <alignment horizontal="left" vertical="center" wrapText="1"/>
    </xf>
    <xf numFmtId="0" fontId="3" fillId="9" borderId="190">
      <alignment horizontal="center" vertical="center" wrapText="1"/>
    </xf>
    <xf numFmtId="4" fontId="3" fillId="6" borderId="190">
      <alignment horizontal="right" vertical="center" wrapText="1"/>
      <protection locked="0"/>
    </xf>
    <xf numFmtId="0" fontId="3" fillId="9" borderId="191">
      <alignment horizontal="center" vertical="center" wrapText="1"/>
    </xf>
    <xf numFmtId="4" fontId="3" fillId="8" borderId="192">
      <alignment horizontal="right" vertical="center" wrapText="1"/>
    </xf>
    <xf numFmtId="0" fontId="3" fillId="9" borderId="193">
      <alignment horizontal="center" vertical="center" wrapText="1"/>
    </xf>
    <xf numFmtId="0" fontId="3" fillId="9" borderId="194">
      <alignment horizontal="left" vertical="center" wrapText="1"/>
    </xf>
    <xf numFmtId="0" fontId="3" fillId="9" borderId="194">
      <alignment horizontal="center" vertical="center" wrapText="1"/>
    </xf>
    <xf numFmtId="4" fontId="3" fillId="8" borderId="194">
      <alignment horizontal="right" vertical="center" wrapText="1"/>
    </xf>
    <xf numFmtId="4" fontId="3" fillId="8" borderId="195">
      <alignment horizontal="right" vertical="center" wrapText="1"/>
    </xf>
    <xf numFmtId="3" fontId="3" fillId="9" borderId="0" applyBorder="0">
      <alignment vertical="center" wrapText="1"/>
    </xf>
    <xf numFmtId="3" fontId="3" fillId="14" borderId="183">
      <alignment vertical="center" wrapText="1"/>
    </xf>
    <xf numFmtId="0" fontId="3" fillId="0" borderId="183" applyFill="0">
      <alignment horizontal="center" vertical="center" wrapText="1"/>
    </xf>
    <xf numFmtId="0" fontId="3" fillId="0" borderId="183" applyFill="0">
      <alignment horizontal="left" vertical="center" wrapText="1"/>
    </xf>
    <xf numFmtId="0" fontId="3" fillId="0" borderId="186" applyFill="0">
      <alignment horizontal="right" vertical="center" wrapText="1"/>
    </xf>
    <xf numFmtId="4" fontId="3" fillId="8" borderId="16">
      <alignment vertical="center" wrapText="1"/>
    </xf>
    <xf numFmtId="0" fontId="3" fillId="9" borderId="16">
      <alignment horizontal="left" vertical="center" wrapText="1"/>
    </xf>
    <xf numFmtId="0" fontId="16" fillId="0" borderId="18" applyFill="0">
      <alignment vertical="center" wrapText="1"/>
    </xf>
    <xf numFmtId="0" fontId="3" fillId="9" borderId="22">
      <alignment horizontal="center" vertical="center" wrapText="1"/>
    </xf>
    <xf numFmtId="0" fontId="3" fillId="9" borderId="21">
      <alignment horizontal="center" vertical="center" wrapText="1"/>
    </xf>
    <xf numFmtId="4" fontId="3" fillId="14" borderId="183">
      <alignment horizontal="right" vertical="center" wrapText="1"/>
    </xf>
    <xf numFmtId="0" fontId="3" fillId="9" borderId="21">
      <alignment horizontal="left" vertical="center" wrapText="1"/>
    </xf>
    <xf numFmtId="0" fontId="2" fillId="10" borderId="5">
      <alignment vertical="center" wrapText="1"/>
    </xf>
    <xf numFmtId="0" fontId="2" fillId="10" borderId="0" applyBorder="0">
      <alignment horizontal="right" vertical="center" wrapText="1"/>
    </xf>
    <xf numFmtId="0" fontId="3" fillId="14" borderId="16">
      <alignment vertical="center" wrapText="1"/>
    </xf>
    <xf numFmtId="3" fontId="3" fillId="8" borderId="16">
      <alignment horizontal="center" vertical="center" wrapText="1"/>
    </xf>
    <xf numFmtId="0" fontId="60" fillId="0" borderId="0" applyFill="0" applyBorder="0">
      <alignment vertical="center"/>
    </xf>
    <xf numFmtId="0" fontId="7" fillId="0" borderId="31" applyFill="0">
      <alignment vertical="center"/>
    </xf>
    <xf numFmtId="0" fontId="61" fillId="0" borderId="31" applyFill="0"/>
    <xf numFmtId="0" fontId="61" fillId="0" borderId="27" applyFill="0">
      <alignment horizontal="center" vertical="center" wrapText="1"/>
    </xf>
    <xf numFmtId="0" fontId="3" fillId="11" borderId="196">
      <alignment vertical="center"/>
    </xf>
    <xf numFmtId="0" fontId="3" fillId="11" borderId="197">
      <alignment vertical="center"/>
    </xf>
    <xf numFmtId="0" fontId="3" fillId="11" borderId="197">
      <alignment horizontal="left" vertical="center" indent="1"/>
    </xf>
    <xf numFmtId="0" fontId="3" fillId="11" borderId="198">
      <alignment horizontal="left" vertical="center" indent="1"/>
    </xf>
    <xf numFmtId="0" fontId="3" fillId="11" borderId="199">
      <alignment horizontal="left" vertical="center" indent="1"/>
    </xf>
    <xf numFmtId="0" fontId="3" fillId="11" borderId="20">
      <alignment vertical="center"/>
    </xf>
    <xf numFmtId="0" fontId="3" fillId="11" borderId="200">
      <alignment horizontal="left" vertical="center" indent="1"/>
    </xf>
    <xf numFmtId="0" fontId="3" fillId="11" borderId="201">
      <alignment horizontal="left" vertical="center" indent="1"/>
    </xf>
    <xf numFmtId="0" fontId="62" fillId="0" borderId="40" applyFill="0">
      <alignment horizontal="right" vertical="top" wrapText="1"/>
    </xf>
    <xf numFmtId="0" fontId="3" fillId="0" borderId="27" applyFill="0">
      <alignment horizontal="center" vertical="center"/>
    </xf>
    <xf numFmtId="0" fontId="3" fillId="0" borderId="30" applyFill="0"/>
    <xf numFmtId="0" fontId="3" fillId="0" borderId="26" applyFill="0">
      <alignment horizontal="center" vertical="center"/>
    </xf>
    <xf numFmtId="0" fontId="3" fillId="0" borderId="25" applyFill="0">
      <alignment horizontal="center" vertical="center"/>
    </xf>
    <xf numFmtId="0" fontId="3" fillId="11" borderId="25">
      <alignment horizontal="left" vertical="center" indent="1"/>
    </xf>
    <xf numFmtId="0" fontId="3" fillId="11" borderId="31">
      <alignment horizontal="left" vertical="center" indent="1"/>
    </xf>
    <xf numFmtId="0" fontId="3" fillId="11" borderId="26">
      <alignment horizontal="left" vertical="center" indent="1"/>
    </xf>
    <xf numFmtId="0" fontId="3" fillId="0" borderId="26" applyFill="0">
      <alignment horizontal="left" vertical="center" indent="1"/>
    </xf>
    <xf numFmtId="0" fontId="63" fillId="0" borderId="26" applyFill="0">
      <alignment vertical="top"/>
    </xf>
    <xf numFmtId="0" fontId="3" fillId="0" borderId="27" applyFill="0">
      <alignment horizontal="left" vertical="center" indent="1"/>
    </xf>
    <xf numFmtId="49" fontId="13" fillId="0" borderId="5" applyFill="0">
      <alignment horizontal="left" vertical="center" wrapText="1"/>
    </xf>
    <xf numFmtId="0" fontId="7" fillId="19" borderId="4">
      <alignment vertical="center" wrapText="1"/>
    </xf>
    <xf numFmtId="49" fontId="7" fillId="19" borderId="4">
      <alignment vertical="center" wrapText="1"/>
    </xf>
    <xf numFmtId="49" fontId="64" fillId="0" borderId="0" applyFill="0" applyBorder="0">
      <alignment vertical="top" wrapText="1"/>
    </xf>
    <xf numFmtId="0" fontId="13" fillId="0" borderId="15" applyFill="0">
      <alignment horizontal="left" vertical="center" wrapText="1"/>
    </xf>
    <xf numFmtId="0" fontId="7" fillId="0" borderId="3" applyFill="0">
      <alignment horizontal="center" vertical="center" wrapText="1"/>
    </xf>
    <xf numFmtId="0" fontId="7" fillId="0" borderId="1" applyFill="0">
      <alignment horizontal="center" vertical="center" wrapText="1"/>
    </xf>
    <xf numFmtId="0" fontId="65" fillId="0" borderId="0" applyFill="0" applyBorder="0">
      <alignment vertical="top" wrapText="1"/>
    </xf>
    <xf numFmtId="49" fontId="66" fillId="0" borderId="0" applyFill="0" applyBorder="0">
      <alignment horizontal="center" vertical="center" wrapText="1"/>
    </xf>
    <xf numFmtId="49" fontId="3" fillId="9" borderId="155">
      <alignment horizontal="center" vertical="center" wrapText="1"/>
    </xf>
    <xf numFmtId="49" fontId="13" fillId="8" borderId="36">
      <alignment vertical="center" wrapText="1"/>
    </xf>
    <xf numFmtId="49" fontId="59" fillId="20" borderId="0" applyBorder="0">
      <alignment horizontal="center" vertical="center" wrapText="1"/>
      <protection locked="0"/>
    </xf>
    <xf numFmtId="49" fontId="59" fillId="21" borderId="0" applyBorder="0">
      <alignment horizontal="center" vertical="top" wrapText="1"/>
    </xf>
    <xf numFmtId="49" fontId="56" fillId="6" borderId="27">
      <alignment vertical="top" wrapText="1"/>
      <protection locked="0"/>
    </xf>
    <xf numFmtId="49" fontId="56" fillId="22" borderId="0" applyBorder="0">
      <alignment horizontal="right" wrapText="1"/>
    </xf>
    <xf numFmtId="49" fontId="56" fillId="0" borderId="0" applyFill="0" applyBorder="0">
      <alignment wrapText="1"/>
    </xf>
    <xf numFmtId="0" fontId="3" fillId="22" borderId="0" applyBorder="0">
      <alignment horizontal="right" vertical="center" wrapText="1"/>
    </xf>
    <xf numFmtId="0" fontId="56" fillId="0" borderId="0" applyFill="0" applyBorder="0">
      <alignment wrapText="1"/>
    </xf>
    <xf numFmtId="49" fontId="3" fillId="0" borderId="0" applyFill="0" applyBorder="0">
      <alignment wrapText="1"/>
      <protection locked="0"/>
    </xf>
    <xf numFmtId="49" fontId="3" fillId="0" borderId="0" applyFill="0" applyBorder="0">
      <alignment vertical="top" wrapText="1"/>
    </xf>
    <xf numFmtId="49" fontId="56" fillId="6" borderId="27">
      <alignment horizontal="center" vertical="center" wrapText="1"/>
      <protection locked="0"/>
    </xf>
    <xf numFmtId="49" fontId="3" fillId="22" borderId="0" applyBorder="0">
      <alignment horizontal="right" vertical="center" wrapText="1"/>
    </xf>
    <xf numFmtId="49" fontId="56" fillId="0" borderId="0" applyFill="0" applyBorder="0">
      <alignment vertical="top" wrapText="1"/>
    </xf>
    <xf numFmtId="0" fontId="76" fillId="6" borderId="27">
      <alignment vertical="top" wrapText="1"/>
      <protection locked="0"/>
    </xf>
    <xf numFmtId="49" fontId="59" fillId="20" borderId="39">
      <alignment horizontal="center" vertical="center" wrapText="1"/>
      <protection locked="0"/>
    </xf>
    <xf numFmtId="49" fontId="59" fillId="21" borderId="196">
      <alignment horizontal="center" vertical="top" wrapText="1"/>
    </xf>
    <xf numFmtId="0" fontId="56" fillId="6" borderId="27">
      <alignment horizontal="center" vertical="center" wrapText="1"/>
      <protection locked="0"/>
    </xf>
    <xf numFmtId="49" fontId="59" fillId="21" borderId="27">
      <alignment horizontal="center" vertical="top" wrapText="1"/>
    </xf>
    <xf numFmtId="3" fontId="1" fillId="0" borderId="0" applyFill="0" applyBorder="0">
      <alignment vertical="top" wrapText="1"/>
    </xf>
    <xf numFmtId="49" fontId="56" fillId="0" borderId="0" applyFill="0" applyBorder="0">
      <alignment horizontal="left" vertical="center" wrapText="1"/>
    </xf>
    <xf numFmtId="0" fontId="3" fillId="0" borderId="0" applyFill="0" applyBorder="0">
      <alignment vertical="top" wrapText="1"/>
    </xf>
    <xf numFmtId="0" fontId="2" fillId="10" borderId="0" applyBorder="0">
      <alignment horizontal="left" wrapText="1"/>
    </xf>
    <xf numFmtId="0" fontId="2" fillId="10" borderId="0" applyBorder="0">
      <alignment wrapText="1"/>
    </xf>
    <xf numFmtId="49" fontId="25" fillId="0" borderId="4" applyFill="0">
      <alignment horizontal="center" vertical="center" wrapText="1"/>
    </xf>
    <xf numFmtId="49" fontId="25" fillId="0" borderId="36" applyFill="0">
      <alignment horizontal="center" vertical="center" wrapText="1"/>
    </xf>
    <xf numFmtId="0" fontId="3" fillId="11" borderId="133">
      <alignment vertical="center" wrapText="1"/>
    </xf>
    <xf numFmtId="49" fontId="3" fillId="11" borderId="133">
      <alignment horizontal="left" vertical="center" wrapText="1"/>
    </xf>
    <xf numFmtId="49" fontId="3" fillId="11" borderId="202">
      <alignment horizontal="left" vertical="center" wrapText="1"/>
    </xf>
    <xf numFmtId="49" fontId="25" fillId="0" borderId="11" applyFill="0">
      <alignment horizontal="center" vertical="center" wrapText="1"/>
    </xf>
    <xf numFmtId="49" fontId="25" fillId="0" borderId="12" applyFill="0">
      <alignment horizontal="center" vertical="center" wrapText="1"/>
    </xf>
    <xf numFmtId="0" fontId="3" fillId="10" borderId="22" quotePrefix="1">
      <alignment horizontal="center" vertical="center" wrapText="1"/>
    </xf>
    <xf numFmtId="0" fontId="3" fillId="10" borderId="47" quotePrefix="1">
      <alignment horizontal="center" vertical="center" wrapText="1"/>
    </xf>
    <xf numFmtId="0" fontId="3" fillId="10" borderId="21" quotePrefix="1">
      <alignment horizontal="center" vertical="center" wrapText="1"/>
    </xf>
    <xf numFmtId="0" fontId="11" fillId="23" borderId="0" applyBorder="0">
      <alignment wrapText="1"/>
    </xf>
    <xf numFmtId="0" fontId="3" fillId="6" borderId="157">
      <alignment horizontal="left" vertical="center" wrapText="1"/>
      <protection locked="0"/>
    </xf>
    <xf numFmtId="49" fontId="3" fillId="6" borderId="65">
      <alignment horizontal="right" vertical="center" wrapText="1"/>
      <protection locked="0"/>
    </xf>
    <xf numFmtId="49" fontId="1" fillId="6" borderId="65">
      <alignment horizontal="left" vertical="center" wrapText="1"/>
      <protection locked="0"/>
    </xf>
    <xf numFmtId="49" fontId="3" fillId="6" borderId="156">
      <alignment horizontal="center" vertical="center" wrapText="1"/>
      <protection locked="0"/>
    </xf>
    <xf numFmtId="0" fontId="3" fillId="0" borderId="4" applyFill="0">
      <alignment wrapText="1"/>
    </xf>
    <xf numFmtId="4" fontId="3" fillId="6" borderId="4">
      <alignment wrapText="1"/>
      <protection locked="0"/>
    </xf>
    <xf numFmtId="49" fontId="1" fillId="3" borderId="16">
      <alignment horizontal="center" vertical="center" wrapText="1"/>
      <protection locked="0"/>
    </xf>
    <xf numFmtId="49" fontId="1" fillId="3" borderId="22">
      <alignment horizontal="center" vertical="center" wrapText="1"/>
      <protection locked="0"/>
    </xf>
    <xf numFmtId="49" fontId="1" fillId="3" borderId="47">
      <alignment horizontal="center" vertical="center" wrapText="1"/>
      <protection locked="0"/>
    </xf>
    <xf numFmtId="0" fontId="52" fillId="13" borderId="4">
      <alignment horizontal="left" vertical="center" wrapText="1"/>
    </xf>
    <xf numFmtId="4" fontId="13" fillId="8" borderId="174">
      <alignment horizontal="right" vertical="center" wrapText="1"/>
    </xf>
    <xf numFmtId="49" fontId="1" fillId="3" borderId="21">
      <alignment horizontal="center" vertical="center" wrapText="1"/>
      <protection locked="0"/>
    </xf>
    <xf numFmtId="0" fontId="16" fillId="0" borderId="133" applyFill="0">
      <alignment horizontal="left" vertical="center" wrapText="1"/>
    </xf>
    <xf numFmtId="49" fontId="3" fillId="6" borderId="131">
      <alignment horizontal="left" vertical="center" wrapText="1"/>
      <protection locked="0"/>
    </xf>
    <xf numFmtId="4" fontId="13" fillId="8" borderId="131">
      <alignment horizontal="right" vertical="center" wrapText="1"/>
    </xf>
    <xf numFmtId="4" fontId="13" fillId="8" borderId="134">
      <alignment horizontal="right" vertical="center" wrapText="1"/>
    </xf>
    <xf numFmtId="49" fontId="66" fillId="0" borderId="16" applyFill="0">
      <alignment horizontal="right" vertical="center" wrapText="1"/>
    </xf>
    <xf numFmtId="49" fontId="66" fillId="0" borderId="16" applyFill="0">
      <alignment horizontal="center" vertical="center" wrapText="1"/>
    </xf>
    <xf numFmtId="16" fontId="3" fillId="0" borderId="22" quotePrefix="1" applyFill="0">
      <alignment horizontal="center" vertical="center" wrapText="1"/>
    </xf>
    <xf numFmtId="0" fontId="3" fillId="0" borderId="46" applyFill="0">
      <alignment wrapText="1"/>
    </xf>
    <xf numFmtId="0" fontId="55" fillId="11" borderId="5">
      <alignment vertical="center" wrapText="1"/>
    </xf>
    <xf numFmtId="3" fontId="3" fillId="6" borderId="16">
      <alignment horizontal="right" vertical="center" wrapText="1"/>
      <protection locked="0"/>
    </xf>
    <xf numFmtId="49" fontId="3" fillId="6" borderId="157">
      <alignment horizontal="left" vertical="center" wrapText="1"/>
      <protection locked="0"/>
    </xf>
    <xf numFmtId="4" fontId="3" fillId="6" borderId="157">
      <alignment horizontal="right" vertical="center" wrapText="1"/>
      <protection locked="0"/>
    </xf>
    <xf numFmtId="0" fontId="3" fillId="0" borderId="4" quotePrefix="1" applyFill="0">
      <alignment horizontal="center" vertical="center" wrapText="1"/>
    </xf>
    <xf numFmtId="49" fontId="11" fillId="23" borderId="0" applyBorder="0">
      <alignment wrapText="1"/>
    </xf>
    <xf numFmtId="49" fontId="3" fillId="0" borderId="0" applyFill="0" applyBorder="0">
      <alignment wrapText="1"/>
    </xf>
    <xf numFmtId="49" fontId="26" fillId="0" borderId="0" applyFill="0" applyBorder="0">
      <alignment horizontal="right" vertical="center" wrapText="1"/>
    </xf>
    <xf numFmtId="49" fontId="7" fillId="3" borderId="22" quotePrefix="1">
      <alignment horizontal="center" vertical="center" textRotation="90" wrapText="1"/>
      <protection locked="0"/>
    </xf>
    <xf numFmtId="49" fontId="3" fillId="4" borderId="19">
      <alignment horizontal="left" vertical="center" wrapText="1"/>
    </xf>
    <xf numFmtId="49" fontId="3" fillId="6" borderId="4">
      <alignment vertical="top" wrapText="1"/>
      <protection locked="0"/>
    </xf>
    <xf numFmtId="49" fontId="7" fillId="3" borderId="47" quotePrefix="1">
      <alignment horizontal="center" vertical="center" textRotation="90" wrapText="1"/>
      <protection locked="0"/>
    </xf>
    <xf numFmtId="49" fontId="18" fillId="11" borderId="19">
      <alignment horizontal="left" vertical="center" wrapText="1"/>
    </xf>
    <xf numFmtId="49" fontId="7" fillId="3" borderId="21" quotePrefix="1">
      <alignment horizontal="center" vertical="center" textRotation="90" wrapText="1"/>
      <protection locked="0"/>
    </xf>
    <xf numFmtId="49" fontId="26" fillId="0" borderId="0" applyFill="0" applyBorder="0">
      <alignment wrapText="1"/>
    </xf>
    <xf numFmtId="180" fontId="67" fillId="0" borderId="0" applyFill="0" applyBorder="0">
      <alignment vertical="top" wrapText="1"/>
    </xf>
    <xf numFmtId="49" fontId="67" fillId="0" borderId="0" applyFill="0" applyBorder="0">
      <alignment horizontal="center" vertical="top" wrapText="1"/>
    </xf>
    <xf numFmtId="49" fontId="3" fillId="0" borderId="16" applyFill="0">
      <alignment wrapText="1"/>
    </xf>
    <xf numFmtId="49" fontId="66" fillId="0" borderId="22" applyFill="0">
      <alignment horizontal="center" vertical="center" wrapText="1"/>
    </xf>
    <xf numFmtId="49" fontId="3" fillId="10" borderId="47">
      <alignment horizontal="left" vertical="center" wrapText="1"/>
    </xf>
    <xf numFmtId="49" fontId="1" fillId="7" borderId="5">
      <alignment horizontal="left" vertical="center" wrapText="1"/>
    </xf>
    <xf numFmtId="49" fontId="3" fillId="10" borderId="21">
      <alignment horizontal="left" vertical="center" wrapText="1"/>
    </xf>
    <xf numFmtId="180" fontId="67" fillId="0" borderId="0" applyFill="0" applyBorder="0">
      <alignment wrapText="1"/>
    </xf>
    <xf numFmtId="0" fontId="3" fillId="10" borderId="37">
      <alignment horizontal="center" vertical="center" wrapText="1"/>
    </xf>
    <xf numFmtId="49" fontId="3" fillId="0" borderId="21" applyFill="0">
      <alignment horizontal="left" vertical="center" wrapText="1"/>
    </xf>
    <xf numFmtId="0" fontId="3" fillId="0" borderId="5" quotePrefix="1" applyFill="0">
      <alignment horizontal="center" vertical="center" wrapText="1"/>
    </xf>
    <xf numFmtId="49" fontId="1" fillId="0" borderId="0" applyFill="0" applyBorder="0">
      <alignment horizontal="center" wrapText="1"/>
    </xf>
    <xf numFmtId="4" fontId="1" fillId="8" borderId="19">
      <alignment horizontal="right" vertical="center" wrapText="1"/>
    </xf>
    <xf numFmtId="0" fontId="68" fillId="0" borderId="4" applyFill="0">
      <alignment wrapText="1"/>
    </xf>
    <xf numFmtId="49" fontId="67" fillId="0" borderId="0" applyFill="0" applyBorder="0">
      <alignment horizontal="center" vertical="center" wrapText="1"/>
    </xf>
    <xf numFmtId="49" fontId="1" fillId="0" borderId="0" applyFill="0" applyBorder="0">
      <alignment wrapText="1"/>
    </xf>
    <xf numFmtId="4" fontId="1" fillId="6" borderId="19">
      <alignment horizontal="right" vertical="center" wrapText="1"/>
      <protection locked="0"/>
    </xf>
    <xf numFmtId="4" fontId="1" fillId="6" borderId="37">
      <alignment horizontal="right" vertical="center" wrapText="1"/>
      <protection locked="0"/>
    </xf>
    <xf numFmtId="16" fontId="2" fillId="0" borderId="4" quotePrefix="1" applyFill="0">
      <alignment horizontal="center" vertical="center" wrapText="1"/>
    </xf>
    <xf numFmtId="4" fontId="3" fillId="6" borderId="1">
      <alignment horizontal="right" vertical="center" wrapText="1"/>
      <protection locked="0"/>
    </xf>
    <xf numFmtId="4" fontId="3" fillId="6" borderId="3">
      <alignment vertical="center" wrapText="1"/>
      <protection locked="0"/>
    </xf>
    <xf numFmtId="49" fontId="3" fillId="6" borderId="4">
      <alignment wrapText="1"/>
      <protection locked="0"/>
    </xf>
    <xf numFmtId="0" fontId="69" fillId="0" borderId="10" applyFill="0">
      <alignment horizontal="center" vertical="center" wrapText="1"/>
    </xf>
    <xf numFmtId="49" fontId="15" fillId="3" borderId="36">
      <alignment horizontal="left" vertical="center" wrapText="1"/>
      <protection locked="0"/>
    </xf>
    <xf numFmtId="4" fontId="3" fillId="8" borderId="53">
      <alignment horizontal="right" vertical="center" wrapText="1"/>
    </xf>
    <xf numFmtId="49" fontId="15" fillId="3" borderId="28">
      <alignment horizontal="left" vertical="center" wrapText="1"/>
      <protection locked="0"/>
    </xf>
    <xf numFmtId="4" fontId="3" fillId="8" borderId="56">
      <alignment horizontal="right" vertical="center" wrapText="1"/>
    </xf>
    <xf numFmtId="49" fontId="3" fillId="3" borderId="4">
      <alignment horizontal="left" vertical="center" wrapText="1"/>
      <protection locked="0"/>
    </xf>
    <xf numFmtId="49" fontId="3" fillId="3" borderId="4" quotePrefix="1">
      <alignment horizontal="center" vertical="center" wrapText="1"/>
      <protection locked="0"/>
    </xf>
    <xf numFmtId="49" fontId="3" fillId="3" borderId="4">
      <alignment horizontal="center" vertical="center" wrapText="1"/>
      <protection locked="0"/>
    </xf>
    <xf numFmtId="49" fontId="3" fillId="24" borderId="0" applyBorder="0">
      <alignment vertical="top" wrapText="1"/>
    </xf>
    <xf numFmtId="49" fontId="70" fillId="24" borderId="0" applyBorder="0">
      <alignment vertical="top" wrapText="1"/>
    </xf>
    <xf numFmtId="49" fontId="71" fillId="24" borderId="0" applyBorder="0">
      <alignment wrapText="1"/>
    </xf>
    <xf numFmtId="0" fontId="71" fillId="24" borderId="0" applyBorder="0">
      <alignment wrapText="1"/>
    </xf>
    <xf numFmtId="4" fontId="68" fillId="24" borderId="0" applyBorder="0">
      <alignment wrapText="1"/>
    </xf>
    <xf numFmtId="171" fontId="3" fillId="6" borderId="65">
      <alignment horizontal="right" vertical="center" wrapText="1"/>
      <protection locked="0"/>
    </xf>
    <xf numFmtId="171" fontId="3" fillId="8" borderId="65">
      <alignment horizontal="right" vertical="center" wrapText="1"/>
    </xf>
    <xf numFmtId="171" fontId="3" fillId="6" borderId="157">
      <alignment horizontal="right" vertical="center" wrapText="1"/>
      <protection locked="0"/>
    </xf>
    <xf numFmtId="4" fontId="2" fillId="6" borderId="19">
      <alignment horizontal="right" vertical="center" wrapText="1"/>
      <protection locked="0"/>
    </xf>
    <xf numFmtId="0" fontId="72" fillId="9" borderId="0" applyBorder="0">
      <alignment horizontal="center" vertical="center" wrapText="1"/>
    </xf>
    <xf numFmtId="49" fontId="2" fillId="0" borderId="1" quotePrefix="1" applyFill="0">
      <alignment horizontal="center" vertical="center" wrapText="1"/>
    </xf>
    <xf numFmtId="4" fontId="2" fillId="6" borderId="131">
      <alignment horizontal="right" vertical="center" wrapText="1"/>
      <protection locked="0"/>
    </xf>
    <xf numFmtId="4" fontId="2" fillId="6" borderId="132">
      <alignment horizontal="right" vertical="center" wrapText="1"/>
      <protection locked="0"/>
    </xf>
    <xf numFmtId="4" fontId="2" fillId="6" borderId="134">
      <alignment horizontal="right" vertical="center" wrapText="1"/>
      <protection locked="0"/>
    </xf>
    <xf numFmtId="0" fontId="3" fillId="0" borderId="4" applyFill="0">
      <alignment horizontal="right" wrapText="1"/>
    </xf>
    <xf numFmtId="178" fontId="2" fillId="3" borderId="19">
      <alignment horizontal="left" vertical="center" wrapText="1"/>
      <protection locked="0"/>
    </xf>
    <xf numFmtId="49" fontId="2" fillId="6" borderId="37">
      <alignment horizontal="left" vertical="center" wrapText="1"/>
      <protection locked="0"/>
    </xf>
    <xf numFmtId="49" fontId="2" fillId="6" borderId="19">
      <alignment horizontal="left" vertical="center" wrapText="1"/>
      <protection locked="0"/>
    </xf>
    <xf numFmtId="49" fontId="2" fillId="3" borderId="19">
      <alignment horizontal="left" vertical="center" wrapText="1"/>
      <protection locked="0"/>
    </xf>
    <xf numFmtId="49" fontId="2" fillId="6" borderId="5">
      <alignment horizontal="left" vertical="center" wrapText="1"/>
      <protection locked="0"/>
    </xf>
    <xf numFmtId="4" fontId="2" fillId="3" borderId="16">
      <alignment horizontal="right" vertical="center" wrapText="1"/>
      <protection locked="0"/>
    </xf>
    <xf numFmtId="3" fontId="3" fillId="3" borderId="16">
      <alignment horizontal="left" vertical="center" wrapText="1"/>
      <protection locked="0"/>
    </xf>
    <xf numFmtId="0" fontId="3" fillId="3" borderId="16">
      <alignment horizontal="center" vertical="center" wrapText="1"/>
      <protection locked="0"/>
    </xf>
    <xf numFmtId="49" fontId="3" fillId="3" borderId="4">
      <alignment vertical="center" wrapText="1"/>
      <protection locked="0"/>
    </xf>
    <xf numFmtId="10" fontId="2" fillId="6" borderId="159">
      <alignment horizontal="right" vertical="center" wrapText="1"/>
      <protection locked="0"/>
    </xf>
    <xf numFmtId="4" fontId="2" fillId="6" borderId="159">
      <alignment horizontal="right" vertical="center" wrapText="1"/>
      <protection locked="0"/>
    </xf>
    <xf numFmtId="4" fontId="2" fillId="6" borderId="160">
      <alignment horizontal="right" vertical="center" wrapText="1"/>
      <protection locked="0"/>
    </xf>
    <xf numFmtId="4" fontId="2" fillId="6" borderId="203">
      <alignment horizontal="right" vertical="center" wrapText="1"/>
      <protection locked="0"/>
    </xf>
    <xf numFmtId="4" fontId="2" fillId="6" borderId="204">
      <alignment horizontal="right" vertical="center" wrapText="1"/>
      <protection locked="0"/>
    </xf>
    <xf numFmtId="0" fontId="2" fillId="0" borderId="0" applyFill="0" applyBorder="0">
      <alignment wrapText="1"/>
    </xf>
    <xf numFmtId="4" fontId="2" fillId="8" borderId="134">
      <alignment horizontal="right" vertical="center" wrapText="1"/>
    </xf>
    <xf numFmtId="4" fontId="2" fillId="8" borderId="131">
      <alignment horizontal="right" vertical="center" wrapText="1"/>
    </xf>
    <xf numFmtId="4" fontId="2" fillId="8" borderId="132">
      <alignment horizontal="right" vertical="center" wrapText="1"/>
    </xf>
    <xf numFmtId="4" fontId="2" fillId="8" borderId="148">
      <alignment horizontal="right" vertical="center" wrapText="1"/>
    </xf>
    <xf numFmtId="0" fontId="2" fillId="3" borderId="16">
      <alignment horizontal="left" vertical="center" wrapText="1"/>
      <protection locked="0"/>
    </xf>
    <xf numFmtId="0" fontId="2" fillId="3" borderId="19">
      <alignment horizontal="left" vertical="center" wrapText="1"/>
      <protection locked="0"/>
    </xf>
    <xf numFmtId="0" fontId="2" fillId="0" borderId="21" applyFill="0">
      <alignment horizontal="center" wrapText="1"/>
    </xf>
    <xf numFmtId="4" fontId="2" fillId="6" borderId="21">
      <alignment horizontal="right" vertical="center" wrapText="1"/>
      <protection locked="0"/>
    </xf>
    <xf numFmtId="0" fontId="2" fillId="0" borderId="16" applyFill="0">
      <alignment horizontal="center" wrapText="1"/>
    </xf>
    <xf numFmtId="0" fontId="2" fillId="0" borderId="16" applyFill="0">
      <alignment horizontal="left" wrapText="1"/>
    </xf>
    <xf numFmtId="1" fontId="73" fillId="0" borderId="4" applyFill="0">
      <alignment horizontal="center" vertical="center" wrapText="1"/>
    </xf>
    <xf numFmtId="49" fontId="74" fillId="6" borderId="4">
      <alignment horizontal="center" vertical="center" wrapText="1"/>
      <protection locked="0"/>
    </xf>
    <xf numFmtId="49" fontId="74" fillId="3" borderId="4">
      <alignment horizontal="left" vertical="center" wrapText="1"/>
      <protection locked="0"/>
    </xf>
    <xf numFmtId="49" fontId="74" fillId="3" borderId="4">
      <alignment horizontal="center" vertical="center" wrapText="1"/>
      <protection locked="0"/>
    </xf>
    <xf numFmtId="4" fontId="75" fillId="8" borderId="4">
      <alignment horizontal="center" vertical="center" wrapText="1"/>
    </xf>
    <xf numFmtId="49" fontId="1" fillId="3" borderId="16">
      <alignment horizontal="left" vertical="center" wrapText="1"/>
      <protection locked="0"/>
    </xf>
    <xf numFmtId="49" fontId="17" fillId="3" borderId="4">
      <alignment horizontal="center" vertical="center" wrapText="1"/>
      <protection locked="0"/>
    </xf>
    <xf numFmtId="49" fontId="3" fillId="4" borderId="4">
      <alignment horizontal="right" wrapText="1"/>
    </xf>
    <xf numFmtId="49" fontId="3" fillId="4" borderId="36">
      <alignment horizontal="right" wrapText="1"/>
    </xf>
    <xf numFmtId="4" fontId="3" fillId="8" borderId="1">
      <alignment horizontal="right" wrapText="1"/>
    </xf>
    <xf numFmtId="4" fontId="3" fillId="6" borderId="4">
      <alignment horizontal="right" wrapText="1"/>
      <protection locked="0"/>
    </xf>
    <xf numFmtId="4" fontId="3" fillId="8" borderId="4">
      <alignment horizontal="right" wrapText="1"/>
    </xf>
    <xf numFmtId="49" fontId="28" fillId="3" borderId="4">
      <alignment horizontal="left" vertical="center" wrapText="1"/>
      <protection locked="0"/>
    </xf>
    <xf numFmtId="49" fontId="3" fillId="0" borderId="205" applyFill="0">
      <alignment horizontal="center" vertical="center" wrapText="1"/>
    </xf>
    <xf numFmtId="49" fontId="3" fillId="3" borderId="17">
      <alignment horizontal="left" vertical="center" wrapText="1"/>
      <protection locked="0"/>
    </xf>
    <xf numFmtId="0" fontId="3" fillId="6" borderId="36">
      <alignment horizontal="left" vertical="center" wrapText="1"/>
      <protection locked="0"/>
    </xf>
    <xf numFmtId="49" fontId="3" fillId="0" borderId="143" applyFill="0">
      <alignment horizontal="center" vertical="center" wrapText="1"/>
    </xf>
    <xf numFmtId="49" fontId="3" fillId="0" borderId="206" applyFill="0">
      <alignment horizontal="center" vertical="center" wrapText="1"/>
    </xf>
    <xf numFmtId="4" fontId="3" fillId="6" borderId="20">
      <alignment vertical="center" wrapText="1"/>
      <protection locked="0"/>
    </xf>
    <xf numFmtId="4" fontId="3" fillId="6" borderId="43">
      <alignment vertical="center" wrapText="1"/>
      <protection locked="0"/>
    </xf>
    <xf numFmtId="4" fontId="3" fillId="6" borderId="21">
      <alignment vertical="center" wrapText="1"/>
      <protection locked="0"/>
    </xf>
    <xf numFmtId="4" fontId="3" fillId="6" borderId="148">
      <alignment vertical="center" wrapText="1"/>
      <protection locked="0"/>
    </xf>
    <xf numFmtId="49" fontId="3" fillId="19" borderId="207">
      <alignment horizontal="center" vertical="center" textRotation="90" wrapText="1"/>
    </xf>
    <xf numFmtId="0" fontId="3" fillId="19" borderId="207">
      <alignment horizontal="center" vertical="center" textRotation="90" wrapText="1"/>
    </xf>
    <xf numFmtId="49" fontId="3" fillId="22" borderId="0" applyBorder="0">
      <alignment vertical="top" wrapText="1"/>
    </xf>
    <xf numFmtId="0" fontId="3" fillId="22" borderId="0" applyBorder="0">
      <alignment vertical="top" wrapText="1"/>
    </xf>
    <xf numFmtId="4" fontId="1" fillId="22" borderId="0" applyBorder="0">
      <alignment vertical="top" wrapText="1"/>
    </xf>
    <xf numFmtId="0" fontId="1" fillId="22" borderId="0" applyBorder="0">
      <alignment vertical="top" wrapText="1"/>
    </xf>
    <xf numFmtId="4" fontId="3" fillId="22" borderId="0" applyBorder="0">
      <alignment vertical="top" wrapText="1"/>
    </xf>
    <xf numFmtId="49" fontId="3" fillId="25" borderId="0" applyBorder="0">
      <alignment vertical="top" wrapText="1"/>
    </xf>
    <xf numFmtId="0" fontId="3" fillId="25" borderId="0" applyBorder="0">
      <alignment vertical="top" wrapText="1"/>
    </xf>
    <xf numFmtId="4" fontId="1" fillId="25" borderId="0" applyBorder="0">
      <alignment vertical="top" wrapText="1"/>
    </xf>
    <xf numFmtId="49" fontId="3" fillId="26" borderId="0" applyBorder="0">
      <alignment vertical="top" wrapText="1"/>
    </xf>
    <xf numFmtId="0" fontId="3" fillId="26" borderId="0" applyBorder="0">
      <alignment vertical="top" wrapText="1"/>
    </xf>
    <xf numFmtId="4" fontId="1" fillId="26" borderId="0" applyBorder="0">
      <alignment vertical="top" wrapText="1"/>
    </xf>
    <xf numFmtId="0" fontId="1" fillId="26" borderId="0" applyBorder="0">
      <alignment vertical="top" wrapText="1"/>
    </xf>
    <xf numFmtId="0" fontId="68" fillId="0" borderId="0" applyFill="0" applyBorder="0">
      <alignment wrapText="1"/>
    </xf>
    <xf numFmtId="0" fontId="1" fillId="0" borderId="0" applyFill="0" applyBorder="0">
      <alignment vertical="center" wrapText="1"/>
    </xf>
    <xf numFmtId="0" fontId="76" fillId="0" borderId="0" applyFill="0" applyBorder="0">
      <alignment vertical="top" wrapText="1"/>
    </xf>
    <xf numFmtId="49" fontId="76" fillId="0" borderId="0" applyFill="0" applyBorder="0">
      <alignment vertical="top" wrapText="1"/>
    </xf>
    <xf numFmtId="49" fontId="3" fillId="0" borderId="27" applyFill="0">
      <alignment horizontal="center" vertical="center" wrapText="1"/>
    </xf>
    <xf numFmtId="0" fontId="1" fillId="0" borderId="27" applyFill="0">
      <alignment horizontal="left" vertical="center" wrapText="1"/>
    </xf>
    <xf numFmtId="49" fontId="14" fillId="0" borderId="30" applyFill="0">
      <alignment horizontal="center" vertical="center" wrapText="1"/>
    </xf>
    <xf numFmtId="49" fontId="3" fillId="3" borderId="27">
      <alignment horizontal="left" vertical="center" wrapText="1"/>
    </xf>
    <xf numFmtId="49" fontId="17" fillId="3" borderId="27">
      <alignment horizontal="center" vertical="center" wrapText="1"/>
    </xf>
    <xf numFmtId="49" fontId="1" fillId="6" borderId="27">
      <alignment horizontal="center" vertical="center" wrapText="1"/>
    </xf>
  </cellStyleXfs>
  <cellXfs count="1220">
    <xf numFmtId="0" fontId="0" fillId="0" borderId="0" xfId="0">
      <alignment vertical="top"/>
    </xf>
    <xf numFmtId="0" fontId="1" fillId="0" borderId="0" xfId="1">
      <alignment vertical="center" wrapText="1"/>
    </xf>
    <xf numFmtId="0" fontId="76" fillId="0" borderId="0" xfId="2">
      <alignment vertical="top"/>
    </xf>
    <xf numFmtId="0" fontId="2" fillId="0" borderId="0" xfId="3">
      <alignment vertical="center" wrapText="1"/>
    </xf>
    <xf numFmtId="49" fontId="3" fillId="0" borderId="0" xfId="7">
      <alignment vertical="center" wrapText="1"/>
    </xf>
    <xf numFmtId="49" fontId="2" fillId="0" borderId="4" xfId="8">
      <alignment vertical="center" wrapText="1"/>
    </xf>
    <xf numFmtId="0" fontId="3" fillId="0" borderId="1" xfId="9">
      <alignment vertical="center" wrapText="1"/>
    </xf>
    <xf numFmtId="0" fontId="3" fillId="0" borderId="4" xfId="10">
      <alignment vertical="center" wrapText="1"/>
    </xf>
    <xf numFmtId="49" fontId="2" fillId="2" borderId="4" xfId="11">
      <alignment vertical="center" wrapText="1"/>
    </xf>
    <xf numFmtId="49" fontId="4" fillId="0" borderId="4" xfId="15">
      <alignment vertical="center" wrapText="1"/>
    </xf>
    <xf numFmtId="3" fontId="3" fillId="0" borderId="4" xfId="16">
      <alignment vertical="center" wrapText="1"/>
    </xf>
    <xf numFmtId="49" fontId="2" fillId="0" borderId="0" xfId="18">
      <alignment horizontal="center" vertical="center" wrapText="1"/>
    </xf>
    <xf numFmtId="0" fontId="3" fillId="3" borderId="4" xfId="19">
      <alignment horizontal="center" vertical="center" wrapText="1"/>
      <protection locked="0"/>
    </xf>
    <xf numFmtId="49" fontId="3" fillId="3" borderId="4" xfId="20">
      <alignment horizontal="center" vertical="center" wrapText="1"/>
      <protection locked="0"/>
    </xf>
    <xf numFmtId="0" fontId="9" fillId="0" borderId="0" xfId="42">
      <alignment vertical="top" wrapText="1"/>
    </xf>
    <xf numFmtId="0" fontId="76" fillId="0" borderId="0" xfId="49">
      <alignment vertical="top" wrapText="1"/>
    </xf>
    <xf numFmtId="0" fontId="3" fillId="9" borderId="0" xfId="50">
      <alignment vertical="center" wrapText="1"/>
    </xf>
    <xf numFmtId="0" fontId="3" fillId="9" borderId="0" xfId="52">
      <alignment horizontal="center" vertical="center" wrapText="1"/>
    </xf>
    <xf numFmtId="0" fontId="3" fillId="9" borderId="0" xfId="53">
      <alignment horizontal="right" vertical="center" wrapText="1"/>
    </xf>
    <xf numFmtId="0" fontId="3" fillId="8" borderId="4" xfId="54">
      <alignment horizontal="center" vertical="center" wrapText="1"/>
    </xf>
    <xf numFmtId="14" fontId="11" fillId="9" borderId="0" xfId="55">
      <alignment horizontal="center" vertical="center" wrapText="1"/>
    </xf>
    <xf numFmtId="49" fontId="3" fillId="9" borderId="0" xfId="56">
      <alignment horizontal="right" vertical="center" wrapText="1"/>
    </xf>
    <xf numFmtId="49" fontId="3" fillId="8" borderId="4" xfId="57">
      <alignment horizontal="center" vertical="center" wrapText="1"/>
    </xf>
    <xf numFmtId="49" fontId="3" fillId="8" borderId="16" xfId="58">
      <alignment horizontal="center" vertical="center" wrapText="1"/>
    </xf>
    <xf numFmtId="0" fontId="1" fillId="0" borderId="0" xfId="59">
      <alignment horizontal="right" vertical="center" wrapText="1"/>
    </xf>
    <xf numFmtId="0" fontId="3" fillId="0" borderId="0" xfId="60">
      <alignment horizontal="right" vertical="center" wrapText="1"/>
    </xf>
    <xf numFmtId="168" fontId="3" fillId="8" borderId="16" xfId="61">
      <alignment horizontal="center" vertical="center" wrapText="1"/>
    </xf>
    <xf numFmtId="49" fontId="3" fillId="8" borderId="16" xfId="62">
      <alignment horizontal="center" vertical="center" wrapText="1"/>
    </xf>
    <xf numFmtId="168" fontId="3" fillId="8" borderId="16" xfId="63">
      <alignment horizontal="center" vertical="center" wrapText="1"/>
    </xf>
    <xf numFmtId="0" fontId="3" fillId="0" borderId="0" xfId="64">
      <alignment vertical="center" wrapText="1"/>
    </xf>
    <xf numFmtId="0" fontId="12" fillId="0" borderId="0" xfId="65">
      <alignment vertical="top" wrapText="1"/>
    </xf>
    <xf numFmtId="0" fontId="3" fillId="8" borderId="16" xfId="66">
      <alignment horizontal="center" vertical="center" wrapText="1"/>
    </xf>
    <xf numFmtId="3" fontId="3" fillId="6" borderId="16" xfId="67">
      <alignment horizontal="center" vertical="center" wrapText="1"/>
      <protection locked="0"/>
    </xf>
    <xf numFmtId="0" fontId="3" fillId="0" borderId="17" xfId="68">
      <alignment vertical="center" wrapText="1"/>
    </xf>
    <xf numFmtId="49" fontId="3" fillId="9" borderId="17" xfId="69">
      <alignment horizontal="center" vertical="center" wrapText="1"/>
    </xf>
    <xf numFmtId="49" fontId="3" fillId="6" borderId="16" xfId="70">
      <alignment horizontal="center" vertical="center" wrapText="1"/>
      <protection locked="0"/>
    </xf>
    <xf numFmtId="49" fontId="3" fillId="9" borderId="0" xfId="71">
      <alignment horizontal="center" vertical="center" wrapText="1"/>
    </xf>
    <xf numFmtId="49" fontId="3" fillId="6" borderId="4" xfId="72">
      <alignment horizontal="center" vertical="center" wrapText="1"/>
      <protection locked="0"/>
    </xf>
    <xf numFmtId="0" fontId="11" fillId="9" borderId="0" xfId="73">
      <alignment horizontal="right" vertical="center" wrapText="1"/>
    </xf>
    <xf numFmtId="0" fontId="11" fillId="0" borderId="17" xfId="74">
      <alignment vertical="center" wrapText="1"/>
    </xf>
    <xf numFmtId="0" fontId="1" fillId="0" borderId="0" xfId="75">
      <alignment vertical="center"/>
    </xf>
    <xf numFmtId="49" fontId="3" fillId="9" borderId="0" xfId="78">
      <alignment vertical="center" wrapText="1"/>
    </xf>
    <xf numFmtId="49" fontId="1" fillId="10" borderId="16" xfId="79">
      <alignment horizontal="center" vertical="center" wrapText="1"/>
    </xf>
    <xf numFmtId="0" fontId="3" fillId="10" borderId="16" xfId="80">
      <alignment horizontal="center" vertical="center" wrapText="1"/>
    </xf>
    <xf numFmtId="0" fontId="13" fillId="0" borderId="19" xfId="81">
      <alignment horizontal="center" vertical="center" wrapText="1"/>
    </xf>
    <xf numFmtId="0" fontId="13" fillId="0" borderId="5" xfId="82">
      <alignment vertical="center" wrapText="1"/>
    </xf>
    <xf numFmtId="0" fontId="3" fillId="0" borderId="5" xfId="83">
      <alignment vertical="center" wrapText="1"/>
    </xf>
    <xf numFmtId="49" fontId="3" fillId="0" borderId="16" xfId="84">
      <alignment horizontal="center" vertical="center" wrapText="1"/>
    </xf>
    <xf numFmtId="49" fontId="1" fillId="0" borderId="16" xfId="85">
      <alignment horizontal="left" vertical="center" wrapText="1"/>
    </xf>
    <xf numFmtId="49" fontId="1" fillId="6" borderId="16" xfId="86">
      <alignment horizontal="center" vertical="center" wrapText="1"/>
      <protection locked="0"/>
    </xf>
    <xf numFmtId="49" fontId="14" fillId="0" borderId="0" xfId="87">
      <alignment horizontal="center" vertical="center" wrapText="1"/>
    </xf>
    <xf numFmtId="49" fontId="3" fillId="0" borderId="20" xfId="88">
      <alignment horizontal="center" vertical="center" wrapText="1"/>
    </xf>
    <xf numFmtId="49" fontId="1" fillId="3" borderId="16" xfId="89">
      <alignment horizontal="left" vertical="center" wrapText="1"/>
    </xf>
    <xf numFmtId="49" fontId="3" fillId="6" borderId="16" xfId="90">
      <alignment horizontal="center" vertical="center" wrapText="1"/>
    </xf>
    <xf numFmtId="49" fontId="15" fillId="11" borderId="1" xfId="91">
      <alignment horizontal="left" vertical="center" wrapText="1"/>
    </xf>
    <xf numFmtId="49" fontId="15" fillId="11" borderId="2" xfId="92">
      <alignment horizontal="left" vertical="center" wrapText="1"/>
    </xf>
    <xf numFmtId="49" fontId="15" fillId="11" borderId="3" xfId="93">
      <alignment horizontal="left" vertical="center" wrapText="1"/>
    </xf>
    <xf numFmtId="49" fontId="3" fillId="6" borderId="21" xfId="94">
      <alignment horizontal="center" vertical="center" wrapText="1"/>
      <protection locked="0"/>
    </xf>
    <xf numFmtId="49" fontId="3" fillId="6" borderId="22" xfId="95">
      <alignment horizontal="center" vertical="center" wrapText="1"/>
      <protection locked="0"/>
    </xf>
    <xf numFmtId="0" fontId="13" fillId="0" borderId="4" xfId="109">
      <alignment horizontal="center" vertical="center" wrapText="1"/>
    </xf>
    <xf numFmtId="0" fontId="1" fillId="0" borderId="4" xfId="111">
      <alignment vertical="center" wrapText="1"/>
    </xf>
    <xf numFmtId="49" fontId="1" fillId="3" borderId="19" xfId="152">
      <alignment horizontal="left" vertical="center" wrapText="1"/>
      <protection locked="0"/>
    </xf>
    <xf numFmtId="49" fontId="1" fillId="6" borderId="4" xfId="155">
      <alignment horizontal="center" vertical="center" wrapText="1"/>
      <protection locked="0"/>
    </xf>
    <xf numFmtId="0" fontId="76" fillId="0" borderId="0" xfId="169">
      <alignment horizontal="center" vertical="center" wrapText="1"/>
    </xf>
    <xf numFmtId="0" fontId="3" fillId="0" borderId="16" xfId="174">
      <alignment horizontal="left" vertical="center" wrapText="1"/>
    </xf>
    <xf numFmtId="49" fontId="3" fillId="0" borderId="16" xfId="188">
      <alignment horizontal="left" vertical="center" wrapText="1"/>
    </xf>
    <xf numFmtId="0" fontId="3" fillId="0" borderId="16" xfId="190">
      <alignment horizontal="center" vertical="center" wrapText="1"/>
    </xf>
    <xf numFmtId="0" fontId="3" fillId="13" borderId="19" xfId="192">
      <alignment horizontal="center" vertical="center" wrapText="1"/>
    </xf>
    <xf numFmtId="0" fontId="3" fillId="13" borderId="5" xfId="193">
      <alignment vertical="center" wrapText="1"/>
    </xf>
    <xf numFmtId="0" fontId="3" fillId="13" borderId="37" xfId="194">
      <alignment vertical="center" wrapText="1"/>
    </xf>
    <xf numFmtId="0" fontId="3" fillId="0" borderId="21" xfId="195">
      <alignment horizontal="center" vertical="center" wrapText="1"/>
    </xf>
    <xf numFmtId="0" fontId="3" fillId="0" borderId="21" xfId="196">
      <alignment horizontal="left" vertical="center" wrapText="1"/>
    </xf>
    <xf numFmtId="4" fontId="3" fillId="6" borderId="21" xfId="197">
      <alignment horizontal="right" vertical="center" wrapText="1"/>
      <protection locked="0"/>
    </xf>
    <xf numFmtId="0" fontId="3" fillId="13" borderId="5" xfId="198">
      <alignment horizontal="center" vertical="center" wrapText="1"/>
    </xf>
    <xf numFmtId="10" fontId="3" fillId="6" borderId="16" xfId="199">
      <alignment horizontal="right" vertical="center" wrapText="1"/>
      <protection locked="0"/>
    </xf>
    <xf numFmtId="4" fontId="3" fillId="6" borderId="16" xfId="200">
      <alignment horizontal="right" vertical="center" wrapText="1"/>
      <protection locked="0"/>
    </xf>
    <xf numFmtId="49" fontId="3" fillId="6" borderId="16" xfId="201">
      <alignment horizontal="right" vertical="center" wrapText="1"/>
      <protection locked="0"/>
    </xf>
    <xf numFmtId="0" fontId="2" fillId="0" borderId="16" xfId="202">
      <alignment vertical="center" wrapText="1"/>
    </xf>
    <xf numFmtId="4" fontId="3" fillId="8" borderId="16" xfId="203">
      <alignment horizontal="right" vertical="center" wrapText="1"/>
    </xf>
    <xf numFmtId="0" fontId="3" fillId="13" borderId="5" xfId="204">
      <alignment horizontal="left" vertical="center" wrapText="1"/>
    </xf>
    <xf numFmtId="0" fontId="2" fillId="0" borderId="16" xfId="205">
      <alignment horizontal="center" vertical="center" wrapText="1"/>
    </xf>
    <xf numFmtId="0" fontId="3" fillId="13" borderId="19" xfId="206">
      <alignment horizontal="left" vertical="center" wrapText="1"/>
    </xf>
    <xf numFmtId="4" fontId="3" fillId="6" borderId="16" xfId="207">
      <alignment horizontal="right" vertical="center" wrapText="1"/>
    </xf>
    <xf numFmtId="49" fontId="3" fillId="0" borderId="4" xfId="208">
      <alignment horizontal="center" vertical="center" wrapText="1"/>
    </xf>
    <xf numFmtId="0" fontId="3" fillId="0" borderId="4" xfId="209">
      <alignment horizontal="left" vertical="center" wrapText="1"/>
    </xf>
    <xf numFmtId="0" fontId="3" fillId="0" borderId="4" xfId="210">
      <alignment horizontal="center" vertical="center" wrapText="1"/>
    </xf>
    <xf numFmtId="4" fontId="3" fillId="6" borderId="4" xfId="211">
      <alignment horizontal="right" vertical="center" wrapText="1"/>
    </xf>
    <xf numFmtId="0" fontId="3" fillId="13" borderId="37" xfId="212">
      <alignment horizontal="center" vertical="center" wrapText="1"/>
    </xf>
    <xf numFmtId="4" fontId="3" fillId="6" borderId="37" xfId="213">
      <alignment horizontal="right" vertical="center" wrapText="1"/>
    </xf>
    <xf numFmtId="4" fontId="3" fillId="6" borderId="4" xfId="214">
      <alignment horizontal="right" vertical="center" wrapText="1"/>
      <protection locked="0"/>
    </xf>
    <xf numFmtId="4" fontId="3" fillId="6" borderId="37" xfId="215">
      <alignment horizontal="right" vertical="center" wrapText="1"/>
      <protection locked="0"/>
    </xf>
    <xf numFmtId="0" fontId="3" fillId="13" borderId="44" xfId="216">
      <alignment vertical="center"/>
    </xf>
    <xf numFmtId="0" fontId="3" fillId="13" borderId="44" xfId="217">
      <alignment vertical="center" wrapText="1"/>
    </xf>
    <xf numFmtId="0" fontId="3" fillId="13" borderId="45" xfId="218">
      <alignment vertical="center" wrapText="1"/>
    </xf>
    <xf numFmtId="0" fontId="3" fillId="0" borderId="2" xfId="219">
      <alignment vertical="center" wrapText="1"/>
    </xf>
    <xf numFmtId="0" fontId="3" fillId="0" borderId="3" xfId="220">
      <alignment vertical="center" wrapText="1"/>
    </xf>
    <xf numFmtId="0" fontId="3" fillId="9" borderId="5" xfId="221">
      <alignment vertical="center" wrapText="1"/>
    </xf>
    <xf numFmtId="0" fontId="1" fillId="0" borderId="16" xfId="225">
      <alignment horizontal="center" vertical="center" wrapText="1"/>
    </xf>
    <xf numFmtId="0" fontId="3" fillId="0" borderId="22" xfId="228">
      <alignment horizontal="center" vertical="center" wrapText="1"/>
    </xf>
    <xf numFmtId="0" fontId="3" fillId="0" borderId="47" xfId="231">
      <alignment horizontal="center" vertical="center" wrapText="1"/>
    </xf>
    <xf numFmtId="0" fontId="3" fillId="13" borderId="38" xfId="235">
      <alignment horizontal="center" vertical="center" wrapText="1"/>
    </xf>
    <xf numFmtId="0" fontId="3" fillId="13" borderId="0" xfId="236">
      <alignment horizontal="left" vertical="center" wrapText="1"/>
    </xf>
    <xf numFmtId="4" fontId="1" fillId="6" borderId="16" xfId="239">
      <alignment horizontal="right" vertical="center" wrapText="1"/>
      <protection locked="0"/>
    </xf>
    <xf numFmtId="0" fontId="3" fillId="8" borderId="16" xfId="247">
      <alignment horizontal="right" vertical="center" wrapText="1"/>
    </xf>
    <xf numFmtId="0" fontId="3" fillId="14" borderId="16" xfId="255">
      <alignment horizontal="center" vertical="center" wrapText="1"/>
    </xf>
    <xf numFmtId="0" fontId="3" fillId="0" borderId="0" xfId="258">
      <alignment horizontal="left" vertical="center" wrapText="1"/>
    </xf>
    <xf numFmtId="4" fontId="2" fillId="6" borderId="4" xfId="268">
      <alignment horizontal="right" vertical="center" wrapText="1"/>
      <protection locked="0"/>
    </xf>
    <xf numFmtId="0" fontId="1" fillId="0" borderId="19" xfId="270">
      <alignment horizontal="center" vertical="center" wrapText="1"/>
    </xf>
    <xf numFmtId="170" fontId="3" fillId="8" borderId="16" xfId="276">
      <alignment horizontal="right" vertical="center" wrapText="1"/>
    </xf>
    <xf numFmtId="0" fontId="3" fillId="0" borderId="0" xfId="279">
      <alignment horizontal="center" vertical="center" wrapText="1"/>
    </xf>
    <xf numFmtId="0" fontId="3" fillId="0" borderId="22" xfId="282">
      <alignment horizontal="left" vertical="center" wrapText="1"/>
    </xf>
    <xf numFmtId="0" fontId="3" fillId="0" borderId="35" xfId="283">
      <alignment horizontal="left" vertical="center" wrapText="1"/>
    </xf>
    <xf numFmtId="4" fontId="3" fillId="13" borderId="0" xfId="284">
      <alignment horizontal="center" vertical="center" wrapText="1"/>
    </xf>
    <xf numFmtId="0" fontId="3" fillId="0" borderId="19" xfId="285">
      <alignment horizontal="left" vertical="center" wrapText="1"/>
    </xf>
    <xf numFmtId="0" fontId="3" fillId="13" borderId="35" xfId="286">
      <alignment horizontal="center" vertical="center" wrapText="1"/>
    </xf>
    <xf numFmtId="0" fontId="3" fillId="13" borderId="17" xfId="287">
      <alignment horizontal="left" vertical="center" wrapText="1"/>
    </xf>
    <xf numFmtId="0" fontId="3" fillId="13" borderId="20" xfId="288">
      <alignment horizontal="center" vertical="center" wrapText="1"/>
    </xf>
    <xf numFmtId="0" fontId="3" fillId="13" borderId="18" xfId="289">
      <alignment horizontal="left" vertical="center" wrapText="1"/>
    </xf>
    <xf numFmtId="0" fontId="3" fillId="0" borderId="38" xfId="291">
      <alignment horizontal="left" vertical="center" wrapText="1"/>
    </xf>
    <xf numFmtId="0" fontId="3" fillId="0" borderId="20" xfId="292">
      <alignment horizontal="left" vertical="center" wrapText="1"/>
    </xf>
    <xf numFmtId="0" fontId="3" fillId="13" borderId="0" xfId="293">
      <alignment vertical="center" wrapText="1"/>
    </xf>
    <xf numFmtId="9" fontId="3" fillId="8" borderId="16" xfId="297">
      <alignment horizontal="right" vertical="center" wrapText="1"/>
    </xf>
    <xf numFmtId="4" fontId="3" fillId="0" borderId="47" xfId="302">
      <alignment horizontal="center" vertical="center" wrapText="1"/>
    </xf>
    <xf numFmtId="1" fontId="3" fillId="8" borderId="16" xfId="303">
      <alignment horizontal="right" vertical="center" wrapText="1"/>
    </xf>
    <xf numFmtId="3" fontId="3" fillId="6" borderId="0" xfId="304">
      <alignment horizontal="right" vertical="center" wrapText="1"/>
      <protection locked="0"/>
    </xf>
    <xf numFmtId="168" fontId="3" fillId="6" borderId="0" xfId="305">
      <alignment horizontal="right" vertical="center" wrapText="1"/>
    </xf>
    <xf numFmtId="0" fontId="13" fillId="0" borderId="20" xfId="306">
      <alignment horizontal="left" vertical="center" wrapText="1"/>
    </xf>
    <xf numFmtId="10" fontId="3" fillId="6" borderId="50" xfId="307">
      <alignment horizontal="right" vertical="center" wrapText="1"/>
    </xf>
    <xf numFmtId="10" fontId="3" fillId="8" borderId="16" xfId="308">
      <alignment horizontal="right" vertical="center" wrapText="1"/>
    </xf>
    <xf numFmtId="170" fontId="3" fillId="6" borderId="16" xfId="309">
      <alignment horizontal="right" vertical="center" wrapText="1"/>
    </xf>
    <xf numFmtId="0" fontId="13" fillId="0" borderId="38" xfId="310">
      <alignment horizontal="left" vertical="center" wrapText="1"/>
    </xf>
    <xf numFmtId="0" fontId="3" fillId="0" borderId="1" xfId="322">
      <alignment horizontal="center" vertical="center" wrapText="1"/>
    </xf>
    <xf numFmtId="0" fontId="3" fillId="0" borderId="28" xfId="335">
      <alignment horizontal="center" vertical="center" wrapText="1"/>
    </xf>
    <xf numFmtId="4" fontId="3" fillId="8" borderId="21" xfId="343">
      <alignment horizontal="right" vertical="center" wrapText="1"/>
    </xf>
    <xf numFmtId="4" fontId="13" fillId="8" borderId="16" xfId="354">
      <alignment horizontal="right" vertical="center" wrapText="1"/>
    </xf>
    <xf numFmtId="4" fontId="3" fillId="6" borderId="0" xfId="357">
      <alignment horizontal="right" vertical="center" wrapText="1"/>
      <protection locked="0"/>
    </xf>
    <xf numFmtId="0" fontId="3" fillId="0" borderId="9" xfId="358">
      <alignment horizontal="center" vertical="center" wrapText="1"/>
    </xf>
    <xf numFmtId="0" fontId="13" fillId="0" borderId="16" xfId="365">
      <alignment horizontal="center" vertical="center" wrapText="1"/>
    </xf>
    <xf numFmtId="49" fontId="3" fillId="6" borderId="16" xfId="390">
      <alignment horizontal="left" vertical="center" wrapText="1"/>
      <protection locked="0"/>
    </xf>
    <xf numFmtId="0" fontId="3" fillId="0" borderId="16" xfId="391">
      <alignment vertical="center" wrapText="1"/>
    </xf>
    <xf numFmtId="0" fontId="3" fillId="0" borderId="16" xfId="392" quotePrefix="1">
      <alignment horizontal="center" vertical="center" wrapText="1"/>
    </xf>
    <xf numFmtId="49" fontId="13" fillId="0" borderId="16" xfId="396">
      <alignment horizontal="center" vertical="center" wrapText="1"/>
    </xf>
    <xf numFmtId="0" fontId="13" fillId="0" borderId="16" xfId="402">
      <alignment horizontal="left" vertical="center" wrapText="1"/>
    </xf>
    <xf numFmtId="49" fontId="3" fillId="0" borderId="22" xfId="403">
      <alignment horizontal="center" vertical="center" wrapText="1"/>
    </xf>
    <xf numFmtId="49" fontId="3" fillId="13" borderId="19" xfId="404">
      <alignment horizontal="center" vertical="center" wrapText="1"/>
    </xf>
    <xf numFmtId="49" fontId="3" fillId="13" borderId="5" xfId="406">
      <alignment horizontal="center" vertical="center" wrapText="1"/>
    </xf>
    <xf numFmtId="49" fontId="3" fillId="13" borderId="37" xfId="407">
      <alignment horizontal="center" vertical="center" wrapText="1"/>
    </xf>
    <xf numFmtId="4" fontId="3" fillId="8" borderId="4" xfId="421">
      <alignment horizontal="right" vertical="center" wrapText="1"/>
    </xf>
    <xf numFmtId="0" fontId="1" fillId="0" borderId="4" xfId="426">
      <alignment horizontal="center" vertical="center" wrapText="1"/>
    </xf>
    <xf numFmtId="0" fontId="3" fillId="0" borderId="65" xfId="439">
      <alignment horizontal="center" vertical="center" wrapText="1"/>
    </xf>
    <xf numFmtId="49" fontId="3" fillId="3" borderId="65" xfId="441">
      <alignment horizontal="left" vertical="center" wrapText="1"/>
      <protection locked="0"/>
    </xf>
    <xf numFmtId="0" fontId="15" fillId="11" borderId="2" xfId="508">
      <alignment horizontal="left" vertical="center" wrapText="1"/>
    </xf>
    <xf numFmtId="0" fontId="15" fillId="11" borderId="1" xfId="519">
      <alignment horizontal="left" vertical="center" wrapText="1"/>
    </xf>
    <xf numFmtId="0" fontId="2" fillId="10" borderId="0" xfId="524">
      <alignment horizontal="center" vertical="center" wrapText="1"/>
    </xf>
    <xf numFmtId="0" fontId="2" fillId="10" borderId="0" xfId="525">
      <alignment vertical="center" wrapText="1"/>
    </xf>
    <xf numFmtId="0" fontId="26" fillId="0" borderId="0" xfId="526">
      <alignment horizontal="center" vertical="center" wrapText="1"/>
    </xf>
    <xf numFmtId="0" fontId="3" fillId="0" borderId="37" xfId="532">
      <alignment horizontal="center" vertical="center" wrapText="1"/>
    </xf>
    <xf numFmtId="0" fontId="2" fillId="9" borderId="0" xfId="558">
      <alignment horizontal="center" vertical="center" wrapText="1"/>
    </xf>
    <xf numFmtId="49" fontId="3" fillId="6" borderId="4" xfId="575">
      <alignment horizontal="left" vertical="center" wrapText="1"/>
      <protection locked="0"/>
    </xf>
    <xf numFmtId="4" fontId="3" fillId="6" borderId="50" xfId="580">
      <alignment horizontal="right" vertical="center" wrapText="1"/>
      <protection locked="0"/>
    </xf>
    <xf numFmtId="4" fontId="3" fillId="8" borderId="19" xfId="581">
      <alignment horizontal="right" vertical="center" wrapText="1"/>
    </xf>
    <xf numFmtId="4" fontId="3" fillId="8" borderId="37" xfId="583">
      <alignment horizontal="right" vertical="center" wrapText="1"/>
    </xf>
    <xf numFmtId="10" fontId="3" fillId="6" borderId="4" xfId="628">
      <alignment horizontal="right" vertical="center" wrapText="1"/>
      <protection locked="0"/>
    </xf>
    <xf numFmtId="49" fontId="3" fillId="0" borderId="4" xfId="640">
      <alignment horizontal="left" vertical="center" wrapText="1"/>
    </xf>
    <xf numFmtId="4" fontId="3" fillId="8" borderId="90" xfId="644">
      <alignment horizontal="right" vertical="center" wrapText="1"/>
    </xf>
    <xf numFmtId="4" fontId="3" fillId="6" borderId="22" xfId="653">
      <alignment horizontal="right" vertical="center" wrapText="1"/>
      <protection locked="0"/>
    </xf>
    <xf numFmtId="4" fontId="3" fillId="8" borderId="22" xfId="654">
      <alignment horizontal="right" vertical="center" wrapText="1"/>
    </xf>
    <xf numFmtId="4" fontId="3" fillId="6" borderId="19" xfId="712">
      <alignment horizontal="right" vertical="center" wrapText="1"/>
      <protection locked="0"/>
    </xf>
    <xf numFmtId="49" fontId="13" fillId="15" borderId="16" xfId="725">
      <alignment horizontal="center" vertical="center" wrapText="1"/>
    </xf>
    <xf numFmtId="4" fontId="13" fillId="8" borderId="19" xfId="727">
      <alignment horizontal="right" vertical="center" wrapText="1"/>
    </xf>
    <xf numFmtId="0" fontId="2" fillId="0" borderId="16" xfId="730">
      <alignment horizontal="left" vertical="center" wrapText="1"/>
    </xf>
    <xf numFmtId="49" fontId="1" fillId="0" borderId="16" xfId="733">
      <alignment horizontal="center" vertical="center" wrapText="1"/>
    </xf>
    <xf numFmtId="49" fontId="3" fillId="3" borderId="16" xfId="737">
      <alignment horizontal="left" vertical="center" wrapText="1"/>
      <protection locked="0"/>
    </xf>
    <xf numFmtId="4" fontId="3" fillId="6" borderId="89" xfId="738">
      <alignment horizontal="right" vertical="center" wrapText="1"/>
      <protection locked="0"/>
    </xf>
    <xf numFmtId="49" fontId="2" fillId="0" borderId="4" xfId="757">
      <alignment horizontal="center" vertical="center" wrapText="1"/>
    </xf>
    <xf numFmtId="0" fontId="2" fillId="0" borderId="4" xfId="758">
      <alignment horizontal="left" vertical="center" wrapText="1"/>
    </xf>
    <xf numFmtId="0" fontId="2" fillId="0" borderId="4" xfId="759">
      <alignment horizontal="center" vertical="center" wrapText="1"/>
    </xf>
    <xf numFmtId="0" fontId="3" fillId="0" borderId="4" xfId="760">
      <alignment horizontal="right" vertical="center" wrapText="1"/>
    </xf>
    <xf numFmtId="0" fontId="29" fillId="0" borderId="16" xfId="763">
      <alignment horizontal="left" vertical="center" wrapText="1"/>
    </xf>
    <xf numFmtId="0" fontId="29" fillId="0" borderId="16" xfId="764">
      <alignment horizontal="center" vertical="center" wrapText="1"/>
    </xf>
    <xf numFmtId="0" fontId="26" fillId="0" borderId="0" xfId="783">
      <alignment vertical="center" wrapText="1"/>
    </xf>
    <xf numFmtId="4" fontId="2" fillId="6" borderId="16" xfId="795">
      <alignment horizontal="right" vertical="center" wrapText="1"/>
    </xf>
    <xf numFmtId="4" fontId="2" fillId="6" borderId="16" xfId="796">
      <alignment horizontal="right" vertical="center" wrapText="1"/>
      <protection locked="0"/>
    </xf>
    <xf numFmtId="4" fontId="2" fillId="8" borderId="16" xfId="797">
      <alignment horizontal="right" vertical="center" wrapText="1"/>
    </xf>
    <xf numFmtId="10" fontId="2" fillId="8" borderId="16" xfId="798">
      <alignment horizontal="right" vertical="center" wrapText="1"/>
    </xf>
    <xf numFmtId="49" fontId="2" fillId="6" borderId="16" xfId="800">
      <alignment horizontal="left" vertical="center" wrapText="1"/>
      <protection locked="0"/>
    </xf>
    <xf numFmtId="4" fontId="2" fillId="8" borderId="21" xfId="808">
      <alignment horizontal="right" vertical="center" wrapText="1"/>
    </xf>
    <xf numFmtId="4" fontId="2" fillId="14" borderId="16" xfId="814">
      <alignment horizontal="right" vertical="center" wrapText="1"/>
    </xf>
    <xf numFmtId="4" fontId="29" fillId="8" borderId="16" xfId="828">
      <alignment horizontal="right" vertical="center" wrapText="1"/>
    </xf>
    <xf numFmtId="4" fontId="2" fillId="6" borderId="37" xfId="833">
      <alignment horizontal="right" vertical="center" wrapText="1"/>
      <protection locked="0"/>
    </xf>
    <xf numFmtId="4" fontId="2" fillId="6" borderId="4" xfId="835">
      <alignment horizontal="right" vertical="center" wrapText="1"/>
    </xf>
    <xf numFmtId="10" fontId="13" fillId="8" borderId="16" xfId="837">
      <alignment horizontal="right" vertical="center" wrapText="1"/>
    </xf>
    <xf numFmtId="0" fontId="2" fillId="0" borderId="4" xfId="838">
      <alignment vertical="center" wrapText="1"/>
    </xf>
    <xf numFmtId="0" fontId="3" fillId="10" borderId="4" xfId="847">
      <alignment horizontal="center" vertical="center" wrapText="1"/>
    </xf>
    <xf numFmtId="1" fontId="3" fillId="10" borderId="4" xfId="848">
      <alignment horizontal="center" vertical="center" wrapText="1"/>
    </xf>
    <xf numFmtId="1" fontId="3" fillId="0" borderId="4" xfId="849">
      <alignment horizontal="center" vertical="center" wrapText="1"/>
    </xf>
    <xf numFmtId="0" fontId="29" fillId="0" borderId="4" xfId="851">
      <alignment vertical="center" wrapText="1"/>
    </xf>
    <xf numFmtId="0" fontId="29" fillId="0" borderId="1" xfId="852">
      <alignment vertical="center"/>
    </xf>
    <xf numFmtId="0" fontId="29" fillId="0" borderId="2" xfId="853">
      <alignment vertical="center" wrapText="1"/>
    </xf>
    <xf numFmtId="0" fontId="29" fillId="0" borderId="3" xfId="854">
      <alignment vertical="center" wrapText="1"/>
    </xf>
    <xf numFmtId="0" fontId="2" fillId="10" borderId="4" xfId="855">
      <alignment horizontal="center" vertical="center" wrapText="1"/>
    </xf>
    <xf numFmtId="0" fontId="2" fillId="10" borderId="4" xfId="856">
      <alignment vertical="center" wrapText="1"/>
    </xf>
    <xf numFmtId="10" fontId="2" fillId="6" borderId="4" xfId="857">
      <alignment horizontal="right" vertical="center" wrapText="1"/>
      <protection locked="0"/>
    </xf>
    <xf numFmtId="10" fontId="2" fillId="8" borderId="4" xfId="858">
      <alignment horizontal="right" vertical="center" wrapText="1"/>
    </xf>
    <xf numFmtId="4" fontId="2" fillId="8" borderId="4" xfId="859">
      <alignment horizontal="right" vertical="center" wrapText="1"/>
    </xf>
    <xf numFmtId="172" fontId="2" fillId="8" borderId="4" xfId="860">
      <alignment horizontal="right" vertical="center" wrapText="1"/>
    </xf>
    <xf numFmtId="0" fontId="29" fillId="0" borderId="4" xfId="861">
      <alignment horizontal="center" vertical="center" wrapText="1"/>
    </xf>
    <xf numFmtId="4" fontId="2" fillId="8" borderId="4" xfId="862">
      <alignment vertical="center" wrapText="1"/>
    </xf>
    <xf numFmtId="10" fontId="2" fillId="8" borderId="4" xfId="863">
      <alignment vertical="center" wrapText="1"/>
    </xf>
    <xf numFmtId="4" fontId="2" fillId="6" borderId="4" xfId="864">
      <alignment vertical="center" wrapText="1"/>
      <protection locked="0"/>
    </xf>
    <xf numFmtId="0" fontId="2" fillId="0" borderId="4" xfId="865">
      <alignment horizontal="left" vertical="center" wrapText="1" indent="1"/>
    </xf>
    <xf numFmtId="4" fontId="29" fillId="8" borderId="4" xfId="866">
      <alignment vertical="center" wrapText="1"/>
    </xf>
    <xf numFmtId="10" fontId="29" fillId="8" borderId="4" xfId="867">
      <alignment vertical="center" wrapText="1"/>
    </xf>
    <xf numFmtId="0" fontId="29" fillId="0" borderId="1" xfId="868">
      <alignment vertical="center" wrapText="1"/>
    </xf>
    <xf numFmtId="4" fontId="2" fillId="4" borderId="4" xfId="869">
      <alignment vertical="center" wrapText="1"/>
    </xf>
    <xf numFmtId="16" fontId="2" fillId="0" borderId="4" xfId="870">
      <alignment horizontal="center" vertical="center" wrapText="1"/>
    </xf>
    <xf numFmtId="4" fontId="29" fillId="4" borderId="4" xfId="871">
      <alignment vertical="center" wrapText="1"/>
    </xf>
    <xf numFmtId="0" fontId="29" fillId="0" borderId="4" xfId="872">
      <alignment horizontal="left" vertical="center" wrapText="1"/>
    </xf>
    <xf numFmtId="0" fontId="29" fillId="0" borderId="4" xfId="873">
      <alignment horizontal="center" vertical="center"/>
    </xf>
    <xf numFmtId="0" fontId="29" fillId="0" borderId="2" xfId="874">
      <alignment vertical="center"/>
    </xf>
    <xf numFmtId="0" fontId="29" fillId="0" borderId="3" xfId="875">
      <alignment vertical="center"/>
    </xf>
    <xf numFmtId="4" fontId="29" fillId="6" borderId="4" xfId="876">
      <alignment horizontal="right" vertical="center" wrapText="1"/>
      <protection locked="0"/>
    </xf>
    <xf numFmtId="4" fontId="29" fillId="8" borderId="4" xfId="877">
      <alignment horizontal="right" vertical="center" wrapText="1"/>
    </xf>
    <xf numFmtId="10" fontId="29" fillId="8" borderId="4" xfId="878">
      <alignment horizontal="right" vertical="center" wrapText="1"/>
    </xf>
    <xf numFmtId="49" fontId="3" fillId="0" borderId="4" xfId="884">
      <alignment vertical="center" wrapText="1"/>
    </xf>
    <xf numFmtId="4" fontId="3" fillId="6" borderId="4" xfId="885">
      <alignment vertical="center" wrapText="1"/>
      <protection locked="0"/>
    </xf>
    <xf numFmtId="2" fontId="3" fillId="8" borderId="4" xfId="886">
      <alignment vertical="center" wrapText="1"/>
    </xf>
    <xf numFmtId="172" fontId="3" fillId="8" borderId="4" xfId="887">
      <alignment vertical="center" wrapText="1"/>
    </xf>
    <xf numFmtId="2" fontId="3" fillId="8" borderId="4" xfId="888">
      <alignment horizontal="right" vertical="center" wrapText="1"/>
    </xf>
    <xf numFmtId="9" fontId="3" fillId="8" borderId="4" xfId="889">
      <alignment horizontal="center" vertical="center" wrapText="1"/>
    </xf>
    <xf numFmtId="172" fontId="3" fillId="8" borderId="4" xfId="891">
      <alignment horizontal="center" vertical="center" wrapText="1"/>
    </xf>
    <xf numFmtId="49" fontId="26" fillId="0" borderId="0" xfId="892">
      <alignment vertical="center" wrapText="1"/>
    </xf>
    <xf numFmtId="49" fontId="2" fillId="0" borderId="0" xfId="893">
      <alignment vertical="center" wrapText="1"/>
    </xf>
    <xf numFmtId="4" fontId="3" fillId="8" borderId="4" xfId="894">
      <alignment horizontal="center" vertical="center" wrapText="1"/>
    </xf>
    <xf numFmtId="4" fontId="3" fillId="6" borderId="4" xfId="895">
      <alignment horizontal="center" vertical="center" wrapText="1"/>
      <protection locked="0"/>
    </xf>
    <xf numFmtId="0" fontId="3" fillId="6" borderId="0" xfId="896">
      <alignment vertical="center" wrapText="1"/>
      <protection locked="0"/>
    </xf>
    <xf numFmtId="49" fontId="3" fillId="0" borderId="0" xfId="897">
      <alignment horizontal="center" vertical="center" wrapText="1"/>
    </xf>
    <xf numFmtId="176" fontId="3" fillId="6" borderId="4" xfId="898">
      <alignment horizontal="center" vertical="center" wrapText="1"/>
      <protection locked="0"/>
    </xf>
    <xf numFmtId="10" fontId="3" fillId="6" borderId="4" xfId="899">
      <alignment horizontal="center" vertical="center" wrapText="1"/>
      <protection locked="0"/>
    </xf>
    <xf numFmtId="10" fontId="3" fillId="8" borderId="4" xfId="900">
      <alignment horizontal="center" vertical="center" wrapText="1"/>
    </xf>
    <xf numFmtId="172" fontId="3" fillId="8" borderId="0" xfId="901">
      <alignment horizontal="center" vertical="center" wrapText="1"/>
    </xf>
    <xf numFmtId="49" fontId="2" fillId="0" borderId="4" xfId="902">
      <alignment horizontal="left" vertical="center" wrapText="1"/>
    </xf>
    <xf numFmtId="49" fontId="2" fillId="6" borderId="4" xfId="903">
      <alignment vertical="center" wrapText="1"/>
      <protection locked="0"/>
    </xf>
    <xf numFmtId="2" fontId="2" fillId="8" borderId="4" xfId="904">
      <alignment vertical="center" wrapText="1"/>
    </xf>
    <xf numFmtId="0" fontId="2" fillId="6" borderId="4" xfId="905">
      <alignment vertical="center" wrapText="1"/>
      <protection locked="0"/>
    </xf>
    <xf numFmtId="4" fontId="2" fillId="6" borderId="4" xfId="906">
      <alignment horizontal="center" vertical="center" wrapText="1"/>
      <protection locked="0"/>
    </xf>
    <xf numFmtId="49" fontId="3" fillId="6" borderId="4" xfId="907">
      <alignment vertical="center" wrapText="1"/>
      <protection locked="0"/>
    </xf>
    <xf numFmtId="49" fontId="13" fillId="0" borderId="36" xfId="908">
      <alignment horizontal="center" vertical="center" wrapText="1"/>
    </xf>
    <xf numFmtId="49" fontId="13" fillId="0" borderId="36" xfId="909">
      <alignment vertical="center" wrapText="1"/>
    </xf>
    <xf numFmtId="4" fontId="13" fillId="8" borderId="36" xfId="910">
      <alignment vertical="center" wrapText="1"/>
    </xf>
    <xf numFmtId="4" fontId="29" fillId="8" borderId="36" xfId="911">
      <alignment vertical="center" wrapText="1"/>
    </xf>
    <xf numFmtId="49" fontId="13" fillId="6" borderId="36" xfId="912">
      <alignment vertical="center" wrapText="1"/>
      <protection locked="0"/>
    </xf>
    <xf numFmtId="4" fontId="2" fillId="6" borderId="1" xfId="913">
      <alignment vertical="center" wrapText="1"/>
      <protection locked="0"/>
    </xf>
    <xf numFmtId="4" fontId="2" fillId="8" borderId="1" xfId="914">
      <alignment vertical="center" wrapText="1"/>
    </xf>
    <xf numFmtId="9" fontId="2" fillId="8" borderId="4" xfId="915">
      <alignment vertical="center" wrapText="1"/>
    </xf>
    <xf numFmtId="9" fontId="2" fillId="8" borderId="1" xfId="916">
      <alignment vertical="center" wrapText="1"/>
    </xf>
    <xf numFmtId="4" fontId="13" fillId="8" borderId="11" xfId="917">
      <alignment vertical="center" wrapText="1"/>
    </xf>
    <xf numFmtId="2" fontId="13" fillId="8" borderId="36" xfId="918">
      <alignment vertical="center" wrapText="1"/>
    </xf>
    <xf numFmtId="49" fontId="29" fillId="0" borderId="4" xfId="919">
      <alignment horizontal="center" vertical="center" wrapText="1"/>
    </xf>
    <xf numFmtId="49" fontId="29" fillId="0" borderId="4" xfId="920">
      <alignment vertical="center" wrapText="1"/>
    </xf>
    <xf numFmtId="4" fontId="29" fillId="6" borderId="4" xfId="921">
      <alignment vertical="center" wrapText="1"/>
      <protection locked="0"/>
    </xf>
    <xf numFmtId="2" fontId="29" fillId="8" borderId="4" xfId="922">
      <alignment vertical="center" wrapText="1"/>
    </xf>
    <xf numFmtId="49" fontId="29" fillId="6" borderId="4" xfId="923">
      <alignment vertical="center" wrapText="1"/>
      <protection locked="0"/>
    </xf>
    <xf numFmtId="49" fontId="25" fillId="6" borderId="4" xfId="924">
      <alignment vertical="center" wrapText="1"/>
      <protection locked="0"/>
    </xf>
    <xf numFmtId="49" fontId="13" fillId="0" borderId="4" xfId="925">
      <alignment horizontal="center" vertical="center" wrapText="1"/>
    </xf>
    <xf numFmtId="49" fontId="13" fillId="0" borderId="4" xfId="926">
      <alignment vertical="center" wrapText="1"/>
    </xf>
    <xf numFmtId="4" fontId="13" fillId="8" borderId="4" xfId="927">
      <alignment vertical="center" wrapText="1"/>
    </xf>
    <xf numFmtId="49" fontId="13" fillId="6" borderId="4" xfId="928">
      <alignment vertical="center" wrapText="1"/>
      <protection locked="0"/>
    </xf>
    <xf numFmtId="10" fontId="3" fillId="6" borderId="4" xfId="929">
      <alignment vertical="center" wrapText="1"/>
      <protection locked="0"/>
    </xf>
    <xf numFmtId="10" fontId="13" fillId="6" borderId="4" xfId="930">
      <alignment vertical="center" wrapText="1"/>
      <protection locked="0"/>
    </xf>
    <xf numFmtId="10" fontId="2" fillId="6" borderId="4" xfId="931">
      <alignment vertical="center" wrapText="1"/>
      <protection locked="0"/>
    </xf>
    <xf numFmtId="4" fontId="13" fillId="6" borderId="4" xfId="932">
      <alignment vertical="center" wrapText="1"/>
      <protection locked="0"/>
    </xf>
    <xf numFmtId="49" fontId="2" fillId="0" borderId="4" xfId="933">
      <alignment horizontal="right" vertical="center" wrapText="1"/>
    </xf>
    <xf numFmtId="10" fontId="2" fillId="6" borderId="0" xfId="934">
      <alignment vertical="center" wrapText="1"/>
      <protection locked="0"/>
    </xf>
    <xf numFmtId="9" fontId="13" fillId="8" borderId="109" xfId="935">
      <alignment horizontal="center" vertical="center" wrapText="1"/>
    </xf>
    <xf numFmtId="0" fontId="29" fillId="0" borderId="0" xfId="936">
      <alignment vertical="center" wrapText="1"/>
    </xf>
    <xf numFmtId="0" fontId="29" fillId="0" borderId="36" xfId="940">
      <alignment horizontal="center" vertical="center" wrapText="1"/>
    </xf>
    <xf numFmtId="49" fontId="2" fillId="6" borderId="36" xfId="942">
      <alignment vertical="center" wrapText="1"/>
      <protection locked="0"/>
    </xf>
    <xf numFmtId="49" fontId="13" fillId="6" borderId="4" xfId="943">
      <alignment horizontal="center" vertical="center" wrapText="1"/>
      <protection locked="0"/>
    </xf>
    <xf numFmtId="49" fontId="29" fillId="6" borderId="4" xfId="944">
      <alignment horizontal="center" vertical="center" wrapText="1"/>
      <protection locked="0"/>
    </xf>
    <xf numFmtId="0" fontId="16" fillId="0" borderId="4" xfId="947">
      <alignment horizontal="center" vertical="center" wrapText="1"/>
    </xf>
    <xf numFmtId="49" fontId="2" fillId="6" borderId="4" xfId="948">
      <alignment horizontal="center" vertical="center" wrapText="1"/>
      <protection locked="0"/>
    </xf>
    <xf numFmtId="9" fontId="2" fillId="6" borderId="4" xfId="949">
      <alignment horizontal="center" vertical="center" wrapText="1"/>
      <protection locked="0"/>
    </xf>
    <xf numFmtId="10" fontId="2" fillId="6" borderId="4" xfId="950">
      <alignment horizontal="center" vertical="center" wrapText="1"/>
      <protection locked="0"/>
    </xf>
    <xf numFmtId="4" fontId="29" fillId="6" borderId="4" xfId="951">
      <alignment horizontal="center" vertical="center" wrapText="1"/>
      <protection locked="0"/>
    </xf>
    <xf numFmtId="173" fontId="2" fillId="6" borderId="4" xfId="952">
      <alignment vertical="center" wrapText="1"/>
      <protection locked="0"/>
    </xf>
    <xf numFmtId="0" fontId="3" fillId="6" borderId="4" xfId="954">
      <alignment vertical="center" wrapText="1"/>
      <protection locked="0"/>
    </xf>
    <xf numFmtId="49" fontId="31" fillId="6" borderId="0" xfId="960">
      <alignment horizontal="left" vertical="center" wrapText="1"/>
      <protection locked="0"/>
    </xf>
    <xf numFmtId="0" fontId="31" fillId="6" borderId="0" xfId="961">
      <alignment horizontal="left" vertical="center" wrapText="1"/>
      <protection locked="0"/>
    </xf>
    <xf numFmtId="0" fontId="31" fillId="6" borderId="0" xfId="967">
      <alignment vertical="center" wrapText="1"/>
      <protection locked="0"/>
    </xf>
    <xf numFmtId="0" fontId="31" fillId="0" borderId="0" xfId="968">
      <alignment vertical="center" wrapText="1"/>
    </xf>
    <xf numFmtId="0" fontId="31" fillId="0" borderId="0" xfId="973">
      <alignment horizontal="left" vertical="center" wrapText="1"/>
    </xf>
    <xf numFmtId="0" fontId="31" fillId="0" borderId="0" xfId="974">
      <alignment horizontal="left" vertical="center"/>
    </xf>
    <xf numFmtId="0" fontId="31" fillId="0" borderId="4" xfId="976">
      <alignment horizontal="left" vertical="center" wrapText="1"/>
    </xf>
    <xf numFmtId="0" fontId="31" fillId="0" borderId="4" xfId="977">
      <alignment horizontal="center" vertical="center" wrapText="1"/>
    </xf>
    <xf numFmtId="49" fontId="31" fillId="0" borderId="4" xfId="978">
      <alignment horizontal="center" vertical="center" wrapText="1"/>
    </xf>
    <xf numFmtId="4" fontId="31" fillId="0" borderId="4" xfId="979">
      <alignment horizontal="left" vertical="center" wrapText="1"/>
    </xf>
    <xf numFmtId="49" fontId="32" fillId="0" borderId="4" xfId="980">
      <alignment horizontal="center" vertical="center" wrapText="1"/>
    </xf>
    <xf numFmtId="0" fontId="32" fillId="0" borderId="4" xfId="981">
      <alignment horizontal="left" vertical="center" wrapText="1"/>
    </xf>
    <xf numFmtId="4" fontId="31" fillId="6" borderId="4" xfId="982">
      <alignment horizontal="right" vertical="center" wrapText="1"/>
      <protection locked="0"/>
    </xf>
    <xf numFmtId="4" fontId="32" fillId="8" borderId="4" xfId="983">
      <alignment horizontal="right" vertical="center" wrapText="1"/>
    </xf>
    <xf numFmtId="4" fontId="31" fillId="8" borderId="4" xfId="984">
      <alignment horizontal="right" vertical="center" wrapText="1"/>
    </xf>
    <xf numFmtId="9" fontId="32" fillId="8" borderId="4" xfId="985">
      <alignment horizontal="right" vertical="center" wrapText="1"/>
    </xf>
    <xf numFmtId="10" fontId="32" fillId="8" borderId="4" xfId="986">
      <alignment horizontal="right" vertical="center" wrapText="1"/>
    </xf>
    <xf numFmtId="4" fontId="31" fillId="6" borderId="0" xfId="987">
      <alignment vertical="center" wrapText="1"/>
      <protection locked="0"/>
    </xf>
    <xf numFmtId="4" fontId="31" fillId="8" borderId="16" xfId="990">
      <alignment horizontal="right" vertical="center" wrapText="1"/>
    </xf>
    <xf numFmtId="10" fontId="32" fillId="10" borderId="16" xfId="991">
      <alignment horizontal="right" vertical="center" wrapText="1"/>
    </xf>
    <xf numFmtId="0" fontId="31" fillId="0" borderId="0" xfId="993">
      <alignment horizontal="center" vertical="center" wrapText="1"/>
    </xf>
    <xf numFmtId="10" fontId="31" fillId="8" borderId="16" xfId="994">
      <alignment horizontal="right" vertical="center" wrapText="1"/>
    </xf>
    <xf numFmtId="2" fontId="31" fillId="8" borderId="16" xfId="997">
      <alignment horizontal="right" vertical="center" wrapText="1"/>
    </xf>
    <xf numFmtId="0" fontId="32" fillId="6" borderId="0" xfId="1001">
      <alignment horizontal="left" vertical="center" wrapText="1"/>
      <protection locked="0"/>
    </xf>
    <xf numFmtId="0" fontId="32" fillId="0" borderId="16" xfId="1002">
      <alignment horizontal="center" vertical="center" wrapText="1"/>
    </xf>
    <xf numFmtId="0" fontId="31" fillId="0" borderId="16" xfId="1005">
      <alignment horizontal="center" vertical="center" wrapText="1"/>
    </xf>
    <xf numFmtId="49" fontId="31" fillId="0" borderId="16" xfId="1008">
      <alignment horizontal="center" vertical="center" wrapText="1"/>
    </xf>
    <xf numFmtId="49" fontId="31" fillId="0" borderId="35" xfId="1014">
      <alignment horizontal="center" vertical="center" wrapText="1"/>
    </xf>
    <xf numFmtId="49" fontId="31" fillId="0" borderId="42" xfId="1017">
      <alignment horizontal="center" vertical="center" wrapText="1"/>
    </xf>
    <xf numFmtId="49" fontId="31" fillId="0" borderId="22" xfId="1018">
      <alignment horizontal="center" vertical="center" wrapText="1"/>
    </xf>
    <xf numFmtId="49" fontId="31" fillId="13" borderId="19" xfId="1019">
      <alignment horizontal="center" vertical="center" wrapText="1"/>
    </xf>
    <xf numFmtId="49" fontId="31" fillId="13" borderId="5" xfId="1024">
      <alignment horizontal="center" vertical="center" wrapText="1"/>
    </xf>
    <xf numFmtId="49" fontId="31" fillId="13" borderId="37" xfId="1025">
      <alignment horizontal="center" vertical="center" wrapText="1"/>
    </xf>
    <xf numFmtId="49" fontId="31" fillId="0" borderId="19" xfId="1026">
      <alignment horizontal="center" vertical="center" wrapText="1"/>
    </xf>
    <xf numFmtId="4" fontId="31" fillId="6" borderId="37" xfId="1027">
      <alignment horizontal="right" vertical="center" wrapText="1"/>
      <protection locked="0"/>
    </xf>
    <xf numFmtId="168" fontId="31" fillId="0" borderId="16" xfId="1036">
      <alignment horizontal="center" vertical="center" wrapText="1"/>
    </xf>
    <xf numFmtId="0" fontId="31" fillId="0" borderId="21" xfId="1040">
      <alignment horizontal="center" vertical="center" wrapText="1"/>
    </xf>
    <xf numFmtId="4" fontId="31" fillId="6" borderId="16" xfId="1042">
      <alignment vertical="center" wrapText="1"/>
      <protection locked="0"/>
    </xf>
    <xf numFmtId="49" fontId="31" fillId="0" borderId="37" xfId="1046">
      <alignment horizontal="center" vertical="center" wrapText="1"/>
    </xf>
    <xf numFmtId="0" fontId="31" fillId="0" borderId="16" xfId="1047">
      <alignment horizontal="left" vertical="center" wrapText="1"/>
    </xf>
    <xf numFmtId="49" fontId="31" fillId="6" borderId="16" xfId="1049">
      <alignment vertical="center" wrapText="1"/>
      <protection locked="0"/>
    </xf>
    <xf numFmtId="3" fontId="31" fillId="6" borderId="37" xfId="1050">
      <alignment horizontal="right" vertical="center" wrapText="1"/>
      <protection locked="0"/>
    </xf>
    <xf numFmtId="0" fontId="31" fillId="0" borderId="37" xfId="1055">
      <alignment horizontal="center" vertical="center" wrapText="1"/>
    </xf>
    <xf numFmtId="0" fontId="31" fillId="6" borderId="37" xfId="1069">
      <alignment horizontal="right" vertical="center" wrapText="1"/>
      <protection locked="0"/>
    </xf>
    <xf numFmtId="0" fontId="31" fillId="0" borderId="19" xfId="1073">
      <alignment horizontal="left" vertical="center" wrapText="1"/>
    </xf>
    <xf numFmtId="0" fontId="31" fillId="0" borderId="37" xfId="1075">
      <alignment horizontal="left" vertical="center" wrapText="1"/>
    </xf>
    <xf numFmtId="4" fontId="31" fillId="6" borderId="5" xfId="1076">
      <alignment horizontal="right" vertical="center" wrapText="1"/>
      <protection locked="0"/>
    </xf>
    <xf numFmtId="49" fontId="31" fillId="0" borderId="21" xfId="1079">
      <alignment horizontal="center" vertical="center" wrapText="1"/>
    </xf>
    <xf numFmtId="0" fontId="32" fillId="0" borderId="37" xfId="1082">
      <alignment horizontal="left" vertical="center" wrapText="1"/>
    </xf>
    <xf numFmtId="10" fontId="31" fillId="6" borderId="37" xfId="1083">
      <alignment horizontal="right" vertical="center" wrapText="1"/>
      <protection locked="0"/>
    </xf>
    <xf numFmtId="173" fontId="31" fillId="6" borderId="37" xfId="1084">
      <alignment horizontal="right" vertical="center" wrapText="1"/>
      <protection locked="0"/>
    </xf>
    <xf numFmtId="49" fontId="31" fillId="9" borderId="0" xfId="1085">
      <alignment horizontal="left" vertical="center" wrapText="1"/>
    </xf>
    <xf numFmtId="4" fontId="31" fillId="8" borderId="37" xfId="1088">
      <alignment horizontal="right" vertical="center" wrapText="1"/>
    </xf>
    <xf numFmtId="49" fontId="36" fillId="9" borderId="0" xfId="1091">
      <alignment horizontal="left" vertical="center" wrapText="1"/>
    </xf>
    <xf numFmtId="4" fontId="31" fillId="6" borderId="16" xfId="1096">
      <alignment horizontal="right" vertical="center" wrapText="1"/>
      <protection locked="0"/>
    </xf>
    <xf numFmtId="10" fontId="31" fillId="6" borderId="16" xfId="1097">
      <alignment horizontal="right" vertical="center" wrapText="1"/>
      <protection locked="0"/>
    </xf>
    <xf numFmtId="0" fontId="31" fillId="14" borderId="4" xfId="1098">
      <alignment horizontal="center" vertical="center" wrapText="1"/>
    </xf>
    <xf numFmtId="4" fontId="31" fillId="6" borderId="4" xfId="1100">
      <alignment vertical="center" wrapText="1"/>
      <protection locked="0"/>
    </xf>
    <xf numFmtId="0" fontId="31" fillId="6" borderId="4" xfId="1102">
      <alignment vertical="center" wrapText="1"/>
      <protection locked="0"/>
    </xf>
    <xf numFmtId="4" fontId="32" fillId="6" borderId="4" xfId="1103">
      <alignment vertical="center" wrapText="1"/>
      <protection locked="0"/>
    </xf>
    <xf numFmtId="0" fontId="31" fillId="6" borderId="16" xfId="1104">
      <alignment vertical="center" wrapText="1"/>
      <protection locked="0"/>
    </xf>
    <xf numFmtId="49" fontId="31" fillId="0" borderId="16" xfId="1109">
      <alignment vertical="center" wrapText="1"/>
    </xf>
    <xf numFmtId="49" fontId="32" fillId="15" borderId="16" xfId="1110">
      <alignment horizontal="center" vertical="center" wrapText="1"/>
    </xf>
    <xf numFmtId="0" fontId="31" fillId="0" borderId="16" xfId="1116">
      <alignment vertical="center" wrapText="1"/>
    </xf>
    <xf numFmtId="174" fontId="31" fillId="6" borderId="16" xfId="1121">
      <alignment horizontal="right" vertical="center" wrapText="1"/>
      <protection locked="0"/>
    </xf>
    <xf numFmtId="178" fontId="3" fillId="6" borderId="16" xfId="1129">
      <alignment horizontal="center" vertical="center" wrapText="1"/>
      <protection locked="0"/>
    </xf>
    <xf numFmtId="0" fontId="3" fillId="0" borderId="0" xfId="1131">
      <alignment wrapText="1"/>
    </xf>
    <xf numFmtId="0" fontId="3" fillId="6" borderId="0" xfId="1135">
      <alignment horizontal="center" vertical="center" wrapText="1"/>
      <protection locked="0"/>
    </xf>
    <xf numFmtId="49" fontId="3" fillId="0" borderId="19" xfId="1137">
      <alignment horizontal="center" vertical="center" wrapText="1"/>
    </xf>
    <xf numFmtId="0" fontId="3" fillId="0" borderId="122" xfId="1141">
      <alignment horizontal="left" vertical="center" wrapText="1"/>
    </xf>
    <xf numFmtId="4" fontId="3" fillId="0" borderId="16" xfId="1142">
      <alignment horizontal="left" vertical="center" wrapText="1"/>
    </xf>
    <xf numFmtId="4" fontId="3" fillId="0" borderId="22" xfId="1143">
      <alignment horizontal="left" vertical="center" wrapText="1"/>
    </xf>
    <xf numFmtId="4" fontId="3" fillId="0" borderId="19" xfId="1147">
      <alignment horizontal="left" vertical="center" wrapText="1"/>
    </xf>
    <xf numFmtId="9" fontId="13" fillId="8" borderId="16" xfId="1148">
      <alignment horizontal="right" vertical="center" wrapText="1"/>
    </xf>
    <xf numFmtId="9" fontId="13" fillId="8" borderId="19" xfId="1149">
      <alignment horizontal="right" vertical="center" wrapText="1"/>
    </xf>
    <xf numFmtId="10" fontId="13" fillId="8" borderId="19" xfId="1150">
      <alignment horizontal="right" vertical="center" wrapText="1"/>
    </xf>
    <xf numFmtId="4" fontId="3" fillId="6" borderId="0" xfId="1151">
      <alignment vertical="center" wrapText="1"/>
      <protection locked="0"/>
    </xf>
    <xf numFmtId="10" fontId="13" fillId="10" borderId="16" xfId="1152">
      <alignment horizontal="right" vertical="center" wrapText="1"/>
    </xf>
    <xf numFmtId="2" fontId="3" fillId="8" borderId="16" xfId="1155">
      <alignment horizontal="right" vertical="center" wrapText="1"/>
    </xf>
    <xf numFmtId="49" fontId="3" fillId="0" borderId="35" xfId="1166">
      <alignment horizontal="center" vertical="center" wrapText="1"/>
    </xf>
    <xf numFmtId="49" fontId="3" fillId="0" borderId="42" xfId="1169">
      <alignment horizontal="center" vertical="center" wrapText="1"/>
    </xf>
    <xf numFmtId="49" fontId="3" fillId="6" borderId="19" xfId="1174">
      <alignment horizontal="left" vertical="center" wrapText="1"/>
      <protection locked="0"/>
    </xf>
    <xf numFmtId="49" fontId="3" fillId="6" borderId="16" xfId="1184">
      <alignment vertical="center" wrapText="1"/>
      <protection locked="0"/>
    </xf>
    <xf numFmtId="3" fontId="3" fillId="8" borderId="37" xfId="1189">
      <alignment horizontal="right" vertical="center" wrapText="1"/>
    </xf>
    <xf numFmtId="0" fontId="3" fillId="8" borderId="37" xfId="1199">
      <alignment horizontal="right" vertical="center" wrapText="1"/>
    </xf>
    <xf numFmtId="10" fontId="3" fillId="8" borderId="37" xfId="1206">
      <alignment horizontal="right" vertical="center" wrapText="1"/>
    </xf>
    <xf numFmtId="173" fontId="3" fillId="8" borderId="37" xfId="1207">
      <alignment horizontal="right" vertical="center" wrapText="1"/>
    </xf>
    <xf numFmtId="49" fontId="13" fillId="0" borderId="16" xfId="1212">
      <alignment horizontal="left" vertical="center" wrapText="1"/>
    </xf>
    <xf numFmtId="0" fontId="3" fillId="6" borderId="16" xfId="1216">
      <alignment vertical="center" wrapText="1"/>
      <protection locked="0"/>
    </xf>
    <xf numFmtId="49" fontId="3" fillId="0" borderId="16" xfId="1220">
      <alignment vertical="center" wrapText="1"/>
    </xf>
    <xf numFmtId="4" fontId="31" fillId="0" borderId="16" xfId="1234">
      <alignment horizontal="left" vertical="center" wrapText="1"/>
    </xf>
    <xf numFmtId="4" fontId="31" fillId="0" borderId="22" xfId="1235">
      <alignment horizontal="left" vertical="center" wrapText="1"/>
    </xf>
    <xf numFmtId="49" fontId="32" fillId="0" borderId="19" xfId="1236">
      <alignment horizontal="center" vertical="center" wrapText="1"/>
    </xf>
    <xf numFmtId="4" fontId="32" fillId="8" borderId="16" xfId="1237">
      <alignment horizontal="right" vertical="center" wrapText="1"/>
    </xf>
    <xf numFmtId="4" fontId="31" fillId="0" borderId="19" xfId="1238">
      <alignment horizontal="left" vertical="center" wrapText="1"/>
    </xf>
    <xf numFmtId="4" fontId="32" fillId="8" borderId="19" xfId="1239">
      <alignment horizontal="right" vertical="center" wrapText="1"/>
    </xf>
    <xf numFmtId="9" fontId="32" fillId="8" borderId="16" xfId="1240">
      <alignment horizontal="right" vertical="center" wrapText="1"/>
    </xf>
    <xf numFmtId="9" fontId="32" fillId="8" borderId="19" xfId="1241">
      <alignment horizontal="right" vertical="center" wrapText="1"/>
    </xf>
    <xf numFmtId="10" fontId="32" fillId="8" borderId="16" xfId="1242">
      <alignment horizontal="right" vertical="center" wrapText="1"/>
    </xf>
    <xf numFmtId="10" fontId="32" fillId="8" borderId="19" xfId="1243">
      <alignment horizontal="right" vertical="center" wrapText="1"/>
    </xf>
    <xf numFmtId="176" fontId="31" fillId="6" borderId="0" xfId="1244">
      <alignment horizontal="right" vertical="center" wrapText="1"/>
      <protection locked="0"/>
    </xf>
    <xf numFmtId="0" fontId="44" fillId="0" borderId="0" xfId="1245">
      <alignment vertical="center" wrapText="1"/>
    </xf>
    <xf numFmtId="4" fontId="31" fillId="6" borderId="0" xfId="1246">
      <alignment horizontal="right" vertical="center" wrapText="1"/>
      <protection locked="0"/>
    </xf>
    <xf numFmtId="0" fontId="31" fillId="6" borderId="0" xfId="1247">
      <alignment horizontal="left" vertical="center" wrapText="1"/>
    </xf>
    <xf numFmtId="49" fontId="31" fillId="6" borderId="0" xfId="1258">
      <alignment horizontal="left" vertical="center" wrapText="1"/>
    </xf>
    <xf numFmtId="4" fontId="45" fillId="14" borderId="16" xfId="1260">
      <alignment horizontal="right" vertical="center" wrapText="1"/>
    </xf>
    <xf numFmtId="4" fontId="45" fillId="6" borderId="16" xfId="1261">
      <alignment horizontal="right" vertical="center" wrapText="1"/>
      <protection locked="0"/>
    </xf>
    <xf numFmtId="173" fontId="45" fillId="6" borderId="16" xfId="1262">
      <alignment horizontal="right" vertical="center" wrapText="1"/>
      <protection locked="0"/>
    </xf>
    <xf numFmtId="4" fontId="31" fillId="6" borderId="4" xfId="1263" quotePrefix="1">
      <alignment horizontal="right" vertical="center" wrapText="1"/>
      <protection locked="0"/>
    </xf>
    <xf numFmtId="0" fontId="3" fillId="6" borderId="4" xfId="1264">
      <alignment horizontal="left" vertical="center" wrapText="1"/>
      <protection locked="0"/>
    </xf>
    <xf numFmtId="176" fontId="25" fillId="6" borderId="0" xfId="1267">
      <alignment horizontal="right" vertical="center" wrapText="1"/>
      <protection locked="0"/>
    </xf>
    <xf numFmtId="176" fontId="3" fillId="6" borderId="0" xfId="1268">
      <alignment horizontal="right" vertical="center" wrapText="1"/>
      <protection locked="0"/>
    </xf>
    <xf numFmtId="49" fontId="2" fillId="6" borderId="16" xfId="1272">
      <alignment horizontal="right" vertical="center" wrapText="1"/>
      <protection locked="0"/>
    </xf>
    <xf numFmtId="10" fontId="2" fillId="8" borderId="37" xfId="1273">
      <alignment horizontal="right" vertical="center" wrapText="1"/>
    </xf>
    <xf numFmtId="4" fontId="2" fillId="8" borderId="37" xfId="1274">
      <alignment horizontal="right" vertical="center" wrapText="1"/>
    </xf>
    <xf numFmtId="173" fontId="2" fillId="8" borderId="37" xfId="1275">
      <alignment horizontal="right" vertical="center" wrapText="1"/>
    </xf>
    <xf numFmtId="0" fontId="1" fillId="0" borderId="5" xfId="1277">
      <alignment horizontal="center" vertical="center" wrapText="1"/>
    </xf>
    <xf numFmtId="0" fontId="16" fillId="0" borderId="5" xfId="1280">
      <alignment horizontal="center" vertical="center" wrapText="1"/>
    </xf>
    <xf numFmtId="49" fontId="3" fillId="6" borderId="22" xfId="1297">
      <alignment horizontal="left" vertical="center" wrapText="1"/>
      <protection locked="0"/>
    </xf>
    <xf numFmtId="4" fontId="1" fillId="8" borderId="16" xfId="1310">
      <alignment horizontal="right" vertical="center" wrapText="1"/>
    </xf>
    <xf numFmtId="0" fontId="15" fillId="11" borderId="18" xfId="1318">
      <alignment horizontal="left" vertical="center" wrapText="1"/>
    </xf>
    <xf numFmtId="49" fontId="2" fillId="6" borderId="16" xfId="1331">
      <alignment horizontal="center" vertical="center" wrapText="1"/>
      <protection locked="0"/>
    </xf>
    <xf numFmtId="0" fontId="13" fillId="13" borderId="17" xfId="1348">
      <alignment horizontal="left" vertical="center" wrapText="1"/>
    </xf>
    <xf numFmtId="0" fontId="2" fillId="13" borderId="18" xfId="1380">
      <alignment horizontal="left" vertical="center" wrapText="1"/>
    </xf>
    <xf numFmtId="49" fontId="2" fillId="0" borderId="16" xfId="1383">
      <alignment horizontal="center" vertical="center" wrapText="1"/>
    </xf>
    <xf numFmtId="0" fontId="2" fillId="13" borderId="19" xfId="1385">
      <alignment horizontal="left" vertical="center" wrapText="1"/>
    </xf>
    <xf numFmtId="0" fontId="2" fillId="13" borderId="5" xfId="1386">
      <alignment horizontal="left" vertical="center" wrapText="1"/>
    </xf>
    <xf numFmtId="49" fontId="2" fillId="3" borderId="16" xfId="1402">
      <alignment horizontal="left" vertical="center" wrapText="1"/>
      <protection locked="0"/>
    </xf>
    <xf numFmtId="49" fontId="46" fillId="6" borderId="16" xfId="1403">
      <alignment horizontal="center" vertical="center" wrapText="1"/>
      <protection locked="0"/>
    </xf>
    <xf numFmtId="49" fontId="2" fillId="6" borderId="22" xfId="1406">
      <alignment horizontal="left" vertical="center" wrapText="1"/>
      <protection locked="0"/>
    </xf>
    <xf numFmtId="0" fontId="2" fillId="13" borderId="0" xfId="1410">
      <alignment horizontal="left" vertical="center" wrapText="1"/>
    </xf>
    <xf numFmtId="0" fontId="2" fillId="13" borderId="17" xfId="1411">
      <alignment horizontal="left" vertical="center" wrapText="1"/>
    </xf>
    <xf numFmtId="49" fontId="2" fillId="0" borderId="19" xfId="1419">
      <alignment horizontal="left" vertical="center" wrapText="1"/>
    </xf>
    <xf numFmtId="0" fontId="2" fillId="13" borderId="35" xfId="1420">
      <alignment horizontal="left" vertical="center" wrapText="1"/>
    </xf>
    <xf numFmtId="0" fontId="2" fillId="13" borderId="42" xfId="1421">
      <alignment horizontal="left" vertical="center" wrapText="1"/>
    </xf>
    <xf numFmtId="0" fontId="2" fillId="13" borderId="38" xfId="1422">
      <alignment horizontal="left" vertical="center" wrapText="1"/>
    </xf>
    <xf numFmtId="0" fontId="2" fillId="13" borderId="46" xfId="1423">
      <alignment horizontal="left" vertical="center" wrapText="1"/>
    </xf>
    <xf numFmtId="0" fontId="2" fillId="13" borderId="20" xfId="1425">
      <alignment horizontal="left" vertical="center" wrapText="1"/>
    </xf>
    <xf numFmtId="0" fontId="2" fillId="13" borderId="43" xfId="1426">
      <alignment horizontal="left" vertical="center" wrapText="1"/>
    </xf>
    <xf numFmtId="178" fontId="2" fillId="6" borderId="16" xfId="1432">
      <alignment horizontal="right" vertical="center" wrapText="1"/>
      <protection locked="0"/>
    </xf>
    <xf numFmtId="4" fontId="13" fillId="8" borderId="4" xfId="1451">
      <alignment horizontal="center" vertical="center" wrapText="1"/>
    </xf>
    <xf numFmtId="4" fontId="13" fillId="6" borderId="4" xfId="1452">
      <alignment horizontal="center" vertical="center" wrapText="1"/>
      <protection locked="0"/>
    </xf>
    <xf numFmtId="49" fontId="13" fillId="0" borderId="4" xfId="1458">
      <alignment horizontal="left" vertical="center" wrapText="1"/>
    </xf>
    <xf numFmtId="3" fontId="3" fillId="6" borderId="65" xfId="1471">
      <alignment horizontal="right" vertical="center" wrapText="1"/>
      <protection locked="0"/>
    </xf>
    <xf numFmtId="4" fontId="3" fillId="6" borderId="65" xfId="1472">
      <alignment horizontal="right" vertical="center" wrapText="1"/>
      <protection locked="0"/>
    </xf>
    <xf numFmtId="0" fontId="15" fillId="11" borderId="133" xfId="1478">
      <alignment horizontal="left" vertical="center" wrapText="1"/>
    </xf>
    <xf numFmtId="0" fontId="2" fillId="9" borderId="0" xfId="1479">
      <alignment vertical="center" wrapText="1"/>
    </xf>
    <xf numFmtId="0" fontId="29" fillId="9" borderId="0" xfId="1490">
      <alignment horizontal="left" vertical="center" wrapText="1"/>
    </xf>
    <xf numFmtId="0" fontId="2" fillId="0" borderId="4" xfId="1504" quotePrefix="1">
      <alignment horizontal="center" vertical="center" wrapText="1"/>
    </xf>
    <xf numFmtId="4" fontId="3" fillId="8" borderId="11" xfId="1509">
      <alignment horizontal="right" vertical="center" wrapText="1"/>
    </xf>
    <xf numFmtId="49" fontId="2" fillId="3" borderId="4" xfId="1518">
      <alignment horizontal="left" vertical="center" wrapText="1"/>
      <protection locked="0"/>
    </xf>
    <xf numFmtId="49" fontId="2" fillId="6" borderId="132" xfId="1519">
      <alignment horizontal="left" vertical="center" wrapText="1"/>
      <protection locked="0"/>
    </xf>
    <xf numFmtId="4" fontId="13" fillId="8" borderId="11" xfId="1548">
      <alignment horizontal="right" vertical="center" wrapText="1"/>
    </xf>
    <xf numFmtId="0" fontId="2" fillId="9" borderId="0" xfId="1552">
      <alignment horizontal="left" vertical="center" wrapText="1"/>
    </xf>
    <xf numFmtId="4" fontId="3" fillId="4" borderId="5" xfId="1563">
      <alignment horizontal="right" vertical="center" wrapText="1"/>
    </xf>
    <xf numFmtId="49" fontId="1" fillId="0" borderId="0" xfId="1576">
      <alignment vertical="center" wrapText="1"/>
    </xf>
    <xf numFmtId="10" fontId="2" fillId="6" borderId="16" xfId="1583">
      <alignment horizontal="right" vertical="center" wrapText="1"/>
      <protection locked="0"/>
    </xf>
    <xf numFmtId="0" fontId="2" fillId="0" borderId="37" xfId="1584">
      <alignment horizontal="left" vertical="center" wrapText="1"/>
    </xf>
    <xf numFmtId="49" fontId="3" fillId="4" borderId="5" xfId="1592">
      <alignment horizontal="center" vertical="center" wrapText="1"/>
    </xf>
    <xf numFmtId="49" fontId="3" fillId="4" borderId="5" xfId="1593">
      <alignment horizontal="left" vertical="center" wrapText="1"/>
    </xf>
    <xf numFmtId="0" fontId="3" fillId="0" borderId="140" xfId="1595">
      <alignment horizontal="right" vertical="center" wrapText="1"/>
    </xf>
    <xf numFmtId="4" fontId="18" fillId="11" borderId="4" xfId="1596">
      <alignment horizontal="right" vertical="center" wrapText="1"/>
    </xf>
    <xf numFmtId="49" fontId="18" fillId="11" borderId="5" xfId="1598">
      <alignment horizontal="left" vertical="center" wrapText="1"/>
    </xf>
    <xf numFmtId="4" fontId="15" fillId="11" borderId="5" xfId="1600">
      <alignment horizontal="left" vertical="center" wrapText="1"/>
    </xf>
    <xf numFmtId="4" fontId="18" fillId="11" borderId="5" xfId="1601">
      <alignment horizontal="right" vertical="center" wrapText="1"/>
    </xf>
    <xf numFmtId="4" fontId="2" fillId="6" borderId="16" xfId="1610">
      <alignment vertical="center" wrapText="1"/>
      <protection locked="0"/>
    </xf>
    <xf numFmtId="4" fontId="2" fillId="6" borderId="16" xfId="1611">
      <alignment vertical="center" wrapText="1"/>
    </xf>
    <xf numFmtId="49" fontId="1" fillId="0" borderId="19" xfId="1619">
      <alignment horizontal="center" vertical="center" wrapText="1"/>
    </xf>
    <xf numFmtId="4" fontId="1" fillId="8" borderId="37" xfId="1621">
      <alignment horizontal="right" vertical="center" wrapText="1"/>
    </xf>
    <xf numFmtId="0" fontId="3" fillId="0" borderId="12" xfId="1652">
      <alignment horizontal="left" vertical="center" wrapText="1"/>
    </xf>
    <xf numFmtId="49" fontId="3" fillId="6" borderId="145" xfId="1663">
      <alignment horizontal="left" vertical="center" wrapText="1"/>
      <protection locked="0"/>
    </xf>
    <xf numFmtId="0" fontId="1" fillId="11" borderId="20" xfId="1665">
      <alignment horizontal="center" vertical="center" wrapText="1"/>
    </xf>
    <xf numFmtId="0" fontId="1" fillId="11" borderId="18" xfId="1666">
      <alignment vertical="center" wrapText="1"/>
    </xf>
    <xf numFmtId="4" fontId="3" fillId="6" borderId="55" xfId="1674">
      <alignment horizontal="right" vertical="center" wrapText="1"/>
      <protection locked="0"/>
    </xf>
    <xf numFmtId="0" fontId="3" fillId="0" borderId="131" xfId="1678">
      <alignment horizontal="center" vertical="center" wrapText="1"/>
    </xf>
    <xf numFmtId="4" fontId="3" fillId="6" borderId="11" xfId="1679">
      <alignment horizontal="right" vertical="center" wrapText="1"/>
      <protection locked="0"/>
    </xf>
    <xf numFmtId="0" fontId="3" fillId="0" borderId="131" xfId="1688">
      <alignment horizontal="left" vertical="center" wrapText="1"/>
    </xf>
    <xf numFmtId="0" fontId="3" fillId="10" borderId="16" xfId="1698">
      <alignment horizontal="left" vertical="center" wrapText="1"/>
    </xf>
    <xf numFmtId="0" fontId="3" fillId="10" borderId="22" xfId="1700">
      <alignment horizontal="center" vertical="center" wrapText="1"/>
    </xf>
    <xf numFmtId="0" fontId="3" fillId="10" borderId="47" xfId="1704">
      <alignment horizontal="center" vertical="center" wrapText="1"/>
    </xf>
    <xf numFmtId="0" fontId="2" fillId="6" borderId="16" xfId="1705">
      <alignment horizontal="right" vertical="center" wrapText="1"/>
      <protection locked="0"/>
    </xf>
    <xf numFmtId="49" fontId="3" fillId="3" borderId="36" xfId="1714">
      <alignment horizontal="left" vertical="center" wrapText="1"/>
    </xf>
    <xf numFmtId="49" fontId="3" fillId="3" borderId="36" xfId="1720">
      <alignment horizontal="left" vertical="center" wrapText="1"/>
      <protection locked="0"/>
    </xf>
    <xf numFmtId="0" fontId="1" fillId="11" borderId="147" xfId="1723">
      <alignment horizontal="center" vertical="center" wrapText="1"/>
    </xf>
    <xf numFmtId="0" fontId="1" fillId="11" borderId="133" xfId="1725">
      <alignment vertical="center" wrapText="1"/>
    </xf>
    <xf numFmtId="0" fontId="13" fillId="10" borderId="16" xfId="1730">
      <alignment horizontal="left" vertical="center" wrapText="1"/>
    </xf>
    <xf numFmtId="179" fontId="3" fillId="8" borderId="16" xfId="1738">
      <alignment horizontal="right" vertical="center" wrapText="1"/>
    </xf>
    <xf numFmtId="49" fontId="3" fillId="0" borderId="16" xfId="1739" quotePrefix="1">
      <alignment horizontal="center" vertical="center" wrapText="1"/>
    </xf>
    <xf numFmtId="49" fontId="3" fillId="3" borderId="4" xfId="1766">
      <alignment horizontal="left" vertical="center" wrapText="1"/>
    </xf>
    <xf numFmtId="49" fontId="15" fillId="11" borderId="18" xfId="1768">
      <alignment horizontal="left" vertical="center" wrapText="1"/>
    </xf>
    <xf numFmtId="0" fontId="3" fillId="10" borderId="22" xfId="1779">
      <alignment horizontal="left" vertical="center" wrapText="1"/>
    </xf>
    <xf numFmtId="0" fontId="3" fillId="10" borderId="16" xfId="1781">
      <alignment vertical="center" wrapText="1"/>
    </xf>
    <xf numFmtId="49" fontId="15" fillId="11" borderId="5" xfId="1799">
      <alignment horizontal="left" vertical="center" wrapText="1"/>
    </xf>
    <xf numFmtId="49" fontId="15" fillId="11" borderId="37" xfId="1800">
      <alignment horizontal="left" vertical="center" wrapText="1"/>
    </xf>
    <xf numFmtId="49" fontId="29" fillId="0" borderId="16" xfId="1802">
      <alignment horizontal="center" vertical="center" wrapText="1"/>
    </xf>
    <xf numFmtId="49" fontId="3" fillId="0" borderId="0" xfId="1806">
      <alignment horizontal="left" vertical="center" wrapText="1"/>
    </xf>
    <xf numFmtId="49" fontId="3" fillId="10" borderId="16" xfId="1824">
      <alignment horizontal="left" vertical="center" wrapText="1"/>
    </xf>
    <xf numFmtId="0" fontId="3" fillId="10" borderId="16" xfId="1825" quotePrefix="1">
      <alignment horizontal="center" vertical="center" wrapText="1"/>
    </xf>
    <xf numFmtId="4" fontId="2" fillId="8" borderId="16" xfId="1828">
      <alignment vertical="center" wrapText="1"/>
    </xf>
    <xf numFmtId="0" fontId="2" fillId="0" borderId="5" xfId="1848">
      <alignment vertical="center" wrapText="1"/>
    </xf>
    <xf numFmtId="0" fontId="52" fillId="13" borderId="5" xfId="1891">
      <alignment horizontal="left" vertical="center" wrapText="1"/>
    </xf>
    <xf numFmtId="49" fontId="3" fillId="0" borderId="38" xfId="1893">
      <alignment horizontal="left" vertical="center" wrapText="1"/>
    </xf>
    <xf numFmtId="49" fontId="3" fillId="6" borderId="65" xfId="1896">
      <alignment horizontal="left" vertical="center" wrapText="1"/>
      <protection locked="0"/>
    </xf>
    <xf numFmtId="178" fontId="3" fillId="3" borderId="16" xfId="1897">
      <alignment horizontal="left" vertical="center" wrapText="1"/>
      <protection locked="0"/>
    </xf>
    <xf numFmtId="0" fontId="3" fillId="3" borderId="16" xfId="1898">
      <alignment horizontal="left" vertical="center" wrapText="1"/>
      <protection locked="0"/>
    </xf>
    <xf numFmtId="49" fontId="2" fillId="3" borderId="16" xfId="1899">
      <alignment horizontal="center" vertical="center" wrapText="1"/>
      <protection locked="0"/>
    </xf>
    <xf numFmtId="49" fontId="1" fillId="6" borderId="4" xfId="1911">
      <alignment horizontal="left" vertical="center" wrapText="1"/>
      <protection locked="0"/>
    </xf>
    <xf numFmtId="0" fontId="1" fillId="0" borderId="35" xfId="1917">
      <alignment horizontal="center" vertical="center" wrapText="1"/>
    </xf>
    <xf numFmtId="0" fontId="52" fillId="13" borderId="17" xfId="1926">
      <alignment horizontal="left" vertical="center" wrapText="1"/>
    </xf>
    <xf numFmtId="0" fontId="2" fillId="0" borderId="159" xfId="1958">
      <alignment horizontal="left" vertical="center" wrapText="1"/>
    </xf>
    <xf numFmtId="0" fontId="2" fillId="0" borderId="134" xfId="1961">
      <alignment horizontal="left" vertical="center" wrapText="1"/>
    </xf>
    <xf numFmtId="10" fontId="2" fillId="0" borderId="134" xfId="1962">
      <alignment horizontal="right" vertical="center" wrapText="1"/>
    </xf>
    <xf numFmtId="4" fontId="29" fillId="6" borderId="4" xfId="1970">
      <alignment horizontal="right" vertical="center" wrapText="1"/>
    </xf>
    <xf numFmtId="4" fontId="3" fillId="6" borderId="3" xfId="1986">
      <alignment horizontal="right" vertical="center" wrapText="1"/>
      <protection locked="0"/>
    </xf>
    <xf numFmtId="0" fontId="3" fillId="0" borderId="9" xfId="2014">
      <alignment vertical="center" wrapText="1"/>
    </xf>
    <xf numFmtId="0" fontId="53" fillId="9" borderId="0" xfId="2022">
      <alignment horizontal="center" vertical="center" wrapText="1"/>
    </xf>
    <xf numFmtId="4" fontId="3" fillId="6" borderId="5" xfId="2026">
      <alignment horizontal="right" vertical="center" wrapText="1"/>
      <protection locked="0"/>
    </xf>
    <xf numFmtId="4" fontId="3" fillId="8" borderId="65" xfId="2028">
      <alignment horizontal="right" vertical="center" wrapText="1"/>
    </xf>
    <xf numFmtId="49" fontId="3" fillId="6" borderId="157" xfId="2035">
      <alignment horizontal="center" vertical="center" wrapText="1"/>
      <protection locked="0"/>
    </xf>
    <xf numFmtId="49" fontId="1" fillId="0" borderId="17" xfId="2045">
      <alignment horizontal="left" vertical="center" wrapText="1"/>
    </xf>
    <xf numFmtId="4" fontId="3" fillId="8" borderId="141" xfId="2046">
      <alignment horizontal="right" vertical="center" wrapText="1"/>
    </xf>
    <xf numFmtId="4" fontId="3" fillId="8" borderId="165" xfId="2047">
      <alignment horizontal="right" vertical="center" wrapText="1"/>
    </xf>
    <xf numFmtId="49" fontId="1" fillId="0" borderId="12" xfId="2049">
      <alignment horizontal="left" vertical="center" wrapText="1"/>
    </xf>
    <xf numFmtId="4" fontId="3" fillId="8" borderId="166" xfId="2051">
      <alignment horizontal="right" vertical="center" wrapText="1"/>
    </xf>
    <xf numFmtId="49" fontId="1" fillId="0" borderId="167" xfId="2053">
      <alignment horizontal="left" vertical="center" wrapText="1"/>
    </xf>
    <xf numFmtId="4" fontId="3" fillId="8" borderId="168" xfId="2055">
      <alignment horizontal="right" vertical="center" wrapText="1"/>
    </xf>
    <xf numFmtId="4" fontId="3" fillId="8" borderId="169" xfId="2057">
      <alignment horizontal="right" vertical="center" wrapText="1"/>
    </xf>
    <xf numFmtId="49" fontId="1" fillId="0" borderId="171" xfId="2059">
      <alignment horizontal="left" vertical="center" wrapText="1"/>
    </xf>
    <xf numFmtId="4" fontId="3" fillId="8" borderId="172" xfId="2061">
      <alignment horizontal="right" vertical="center" wrapText="1"/>
    </xf>
    <xf numFmtId="4" fontId="3" fillId="8" borderId="173" xfId="2063">
      <alignment horizontal="right" vertical="center" wrapText="1"/>
    </xf>
    <xf numFmtId="49" fontId="16" fillId="0" borderId="0" xfId="2065">
      <alignment horizontal="left" vertical="center" wrapText="1"/>
    </xf>
    <xf numFmtId="4" fontId="13" fillId="8" borderId="9" xfId="2067">
      <alignment horizontal="right" vertical="center" wrapText="1"/>
    </xf>
    <xf numFmtId="49" fontId="16" fillId="0" borderId="12" xfId="2069">
      <alignment horizontal="left" vertical="center" wrapText="1"/>
    </xf>
    <xf numFmtId="4" fontId="13" fillId="8" borderId="36" xfId="2070">
      <alignment horizontal="right" vertical="center" wrapText="1"/>
    </xf>
    <xf numFmtId="49" fontId="3" fillId="6" borderId="141" xfId="2075">
      <alignment horizontal="left" vertical="center" wrapText="1"/>
      <protection locked="0"/>
    </xf>
    <xf numFmtId="4" fontId="3" fillId="6" borderId="141" xfId="2076">
      <alignment horizontal="right" vertical="center" wrapText="1"/>
      <protection locked="0"/>
    </xf>
    <xf numFmtId="49" fontId="3" fillId="6" borderId="11" xfId="2077">
      <alignment horizontal="left" vertical="center" wrapText="1"/>
      <protection locked="0"/>
    </xf>
    <xf numFmtId="49" fontId="3" fillId="6" borderId="168" xfId="2078">
      <alignment horizontal="left" vertical="center" wrapText="1"/>
      <protection locked="0"/>
    </xf>
    <xf numFmtId="4" fontId="3" fillId="6" borderId="168" xfId="2079">
      <alignment horizontal="right" vertical="center" wrapText="1"/>
      <protection locked="0"/>
    </xf>
    <xf numFmtId="49" fontId="3" fillId="6" borderId="172" xfId="2080">
      <alignment horizontal="left" vertical="center" wrapText="1"/>
      <protection locked="0"/>
    </xf>
    <xf numFmtId="4" fontId="3" fillId="6" borderId="172" xfId="2081">
      <alignment horizontal="right" vertical="center" wrapText="1"/>
      <protection locked="0"/>
    </xf>
    <xf numFmtId="49" fontId="3" fillId="6" borderId="9" xfId="2082">
      <alignment horizontal="left" vertical="center" wrapText="1"/>
      <protection locked="0"/>
    </xf>
    <xf numFmtId="4" fontId="29" fillId="6" borderId="16" xfId="2086">
      <alignment horizontal="right" vertical="center" wrapText="1"/>
      <protection locked="0"/>
    </xf>
    <xf numFmtId="4" fontId="29" fillId="6" borderId="16" xfId="2087">
      <alignment horizontal="right" vertical="center" wrapText="1"/>
    </xf>
    <xf numFmtId="4" fontId="2" fillId="0" borderId="16" xfId="2122">
      <alignment vertical="center" wrapText="1"/>
    </xf>
    <xf numFmtId="0" fontId="3" fillId="13" borderId="37" xfId="2126">
      <alignment horizontal="left" vertical="center" wrapText="1"/>
    </xf>
    <xf numFmtId="0" fontId="2" fillId="8" borderId="16" xfId="2130">
      <alignment horizontal="left" vertical="center" wrapText="1"/>
    </xf>
    <xf numFmtId="0" fontId="29" fillId="0" borderId="16" xfId="2140">
      <alignment vertical="center" wrapText="1"/>
    </xf>
    <xf numFmtId="0" fontId="52" fillId="13" borderId="37" xfId="2150">
      <alignment horizontal="left" vertical="center" wrapText="1"/>
    </xf>
    <xf numFmtId="0" fontId="55" fillId="11" borderId="19" xfId="2153">
      <alignment vertical="center" wrapText="1"/>
    </xf>
    <xf numFmtId="49" fontId="18" fillId="11" borderId="5" xfId="2154">
      <alignment horizontal="center" vertical="center" wrapText="1"/>
    </xf>
    <xf numFmtId="0" fontId="52" fillId="13" borderId="18" xfId="2155">
      <alignment horizontal="left" vertical="center" wrapText="1"/>
    </xf>
    <xf numFmtId="0" fontId="52" fillId="13" borderId="43" xfId="2156">
      <alignment horizontal="left" vertical="center" wrapText="1"/>
    </xf>
    <xf numFmtId="0" fontId="3" fillId="0" borderId="179" xfId="2158">
      <alignment horizontal="left" vertical="center" wrapText="1"/>
    </xf>
    <xf numFmtId="0" fontId="52" fillId="13" borderId="42" xfId="2159">
      <alignment horizontal="left" vertical="center" wrapText="1"/>
    </xf>
    <xf numFmtId="0" fontId="52" fillId="13" borderId="35" xfId="2160">
      <alignment horizontal="left" vertical="center" wrapText="1"/>
    </xf>
    <xf numFmtId="0" fontId="3" fillId="0" borderId="180" xfId="2161">
      <alignment horizontal="left" vertical="center" wrapText="1"/>
    </xf>
    <xf numFmtId="0" fontId="52" fillId="13" borderId="0" xfId="2162">
      <alignment horizontal="left" vertical="center" wrapText="1"/>
    </xf>
    <xf numFmtId="0" fontId="52" fillId="13" borderId="46" xfId="2163">
      <alignment horizontal="left" vertical="center" wrapText="1"/>
    </xf>
    <xf numFmtId="0" fontId="52" fillId="13" borderId="38" xfId="2164">
      <alignment horizontal="left" vertical="center" wrapText="1"/>
    </xf>
    <xf numFmtId="0" fontId="52" fillId="13" borderId="20" xfId="2167">
      <alignment horizontal="left" vertical="center" wrapText="1"/>
    </xf>
    <xf numFmtId="0" fontId="52" fillId="13" borderId="19" xfId="2185">
      <alignment horizontal="left" vertical="center" wrapText="1"/>
    </xf>
    <xf numFmtId="49" fontId="3" fillId="4" borderId="4" xfId="2188">
      <alignment horizontal="right" vertical="center" wrapText="1"/>
    </xf>
    <xf numFmtId="49" fontId="3" fillId="4" borderId="36" xfId="2192">
      <alignment horizontal="right" vertical="center" wrapText="1"/>
    </xf>
    <xf numFmtId="4" fontId="3" fillId="8" borderId="1" xfId="2193">
      <alignment horizontal="right" vertical="center" wrapText="1"/>
    </xf>
    <xf numFmtId="0" fontId="15" fillId="11" borderId="11" xfId="2194">
      <alignment horizontal="left" vertical="center" wrapText="1"/>
    </xf>
    <xf numFmtId="0" fontId="15" fillId="11" borderId="12" xfId="2195">
      <alignment horizontal="left" vertical="center" wrapText="1"/>
    </xf>
    <xf numFmtId="0" fontId="15" fillId="11" borderId="13" xfId="2196">
      <alignment horizontal="left" vertical="center" wrapText="1"/>
    </xf>
    <xf numFmtId="0" fontId="15" fillId="11" borderId="3" xfId="2199">
      <alignment horizontal="left" vertical="center" wrapText="1"/>
    </xf>
    <xf numFmtId="0" fontId="76" fillId="0" borderId="0" xfId="2200">
      <alignment horizontal="center" vertical="top"/>
    </xf>
    <xf numFmtId="49" fontId="29" fillId="9" borderId="0" xfId="2229">
      <alignment horizontal="left" vertical="center" wrapText="1"/>
    </xf>
    <xf numFmtId="49" fontId="2" fillId="0" borderId="16" xfId="2230">
      <alignment vertical="center" wrapText="1"/>
    </xf>
    <xf numFmtId="0" fontId="29" fillId="14" borderId="37" xfId="2231">
      <alignment vertical="center" wrapText="1"/>
    </xf>
    <xf numFmtId="4" fontId="29" fillId="8" borderId="16" xfId="2234">
      <alignment horizontal="right" vertical="center" wrapText="1" shrinkToFit="1"/>
    </xf>
    <xf numFmtId="0" fontId="29" fillId="14" borderId="19" xfId="2235">
      <alignment vertical="center" wrapText="1"/>
    </xf>
    <xf numFmtId="49" fontId="29" fillId="0" borderId="4" xfId="2237">
      <alignment horizontal="left" vertical="center" wrapText="1"/>
    </xf>
    <xf numFmtId="4" fontId="29" fillId="6" borderId="16" xfId="2238">
      <alignment horizontal="right" vertical="center" wrapText="1" shrinkToFit="1"/>
      <protection locked="0"/>
    </xf>
    <xf numFmtId="4" fontId="2" fillId="6" borderId="16" xfId="2239">
      <alignment horizontal="right" vertical="center" wrapText="1" shrinkToFit="1"/>
      <protection locked="0"/>
    </xf>
    <xf numFmtId="0" fontId="29" fillId="8" borderId="16" xfId="2240">
      <alignment horizontal="right" vertical="center" wrapText="1" shrinkToFit="1"/>
    </xf>
    <xf numFmtId="0" fontId="13" fillId="8" borderId="16" xfId="2241">
      <alignment horizontal="right" vertical="center" wrapText="1" shrinkToFit="1"/>
    </xf>
    <xf numFmtId="1" fontId="2" fillId="0" borderId="16" xfId="2246">
      <alignment horizontal="center" vertical="center" wrapText="1"/>
    </xf>
    <xf numFmtId="10" fontId="29" fillId="6" borderId="16" xfId="2247">
      <alignment horizontal="right" vertical="center" wrapText="1"/>
      <protection locked="0"/>
    </xf>
    <xf numFmtId="174" fontId="29" fillId="8" borderId="16" xfId="2248">
      <alignment horizontal="right" vertical="center" wrapText="1"/>
    </xf>
    <xf numFmtId="10" fontId="29" fillId="6" borderId="16" xfId="2249">
      <alignment horizontal="right" vertical="center" wrapText="1"/>
    </xf>
    <xf numFmtId="10" fontId="29" fillId="8" borderId="16" xfId="2250">
      <alignment horizontal="right" vertical="center" wrapText="1"/>
    </xf>
    <xf numFmtId="9" fontId="2" fillId="8" borderId="16" xfId="2251">
      <alignment horizontal="right" vertical="center" wrapText="1"/>
    </xf>
    <xf numFmtId="1" fontId="2" fillId="0" borderId="181" xfId="2258">
      <alignment horizontal="center" vertical="center" wrapText="1"/>
    </xf>
    <xf numFmtId="1" fontId="2" fillId="0" borderId="182" xfId="2259">
      <alignment horizontal="right" vertical="center" wrapText="1"/>
    </xf>
    <xf numFmtId="10" fontId="29" fillId="6" borderId="182" xfId="2260">
      <alignment horizontal="right" vertical="center" wrapText="1"/>
      <protection locked="0"/>
    </xf>
    <xf numFmtId="4" fontId="29" fillId="8" borderId="182" xfId="2261">
      <alignment horizontal="right" vertical="center" wrapText="1"/>
    </xf>
    <xf numFmtId="4" fontId="2" fillId="6" borderId="182" xfId="2262">
      <alignment horizontal="right" vertical="center" wrapText="1"/>
      <protection locked="0"/>
    </xf>
    <xf numFmtId="4" fontId="29" fillId="6" borderId="182" xfId="2263">
      <alignment horizontal="right" vertical="center" wrapText="1"/>
      <protection locked="0"/>
    </xf>
    <xf numFmtId="0" fontId="2" fillId="0" borderId="182" xfId="2264">
      <alignment horizontal="right" vertical="center" wrapText="1"/>
    </xf>
    <xf numFmtId="4" fontId="2" fillId="8" borderId="182" xfId="2265">
      <alignment horizontal="right" vertical="center" wrapText="1"/>
    </xf>
    <xf numFmtId="4" fontId="2" fillId="0" borderId="182" xfId="2266">
      <alignment horizontal="right" vertical="center" wrapText="1"/>
    </xf>
    <xf numFmtId="10" fontId="29" fillId="0" borderId="182" xfId="2267">
      <alignment horizontal="right" vertical="center" wrapText="1"/>
    </xf>
    <xf numFmtId="10" fontId="2" fillId="8" borderId="182" xfId="2268">
      <alignment horizontal="right" vertical="center" wrapText="1"/>
    </xf>
    <xf numFmtId="2" fontId="2" fillId="8" borderId="182" xfId="2269">
      <alignment horizontal="right" vertical="center" wrapText="1"/>
    </xf>
    <xf numFmtId="181" fontId="29" fillId="8" borderId="182" xfId="2270">
      <alignment horizontal="right" vertical="center" wrapText="1"/>
    </xf>
    <xf numFmtId="1" fontId="2" fillId="0" borderId="3" xfId="2272">
      <alignment horizontal="center" vertical="center" wrapText="1"/>
    </xf>
    <xf numFmtId="10" fontId="29" fillId="6" borderId="4" xfId="2273">
      <alignment horizontal="right" vertical="center" wrapText="1"/>
      <protection locked="0"/>
    </xf>
    <xf numFmtId="174" fontId="29" fillId="0" borderId="4" xfId="2274">
      <alignment horizontal="right" vertical="center" wrapText="1"/>
    </xf>
    <xf numFmtId="2" fontId="2" fillId="8" borderId="4" xfId="2275">
      <alignment horizontal="right" vertical="center" wrapText="1"/>
    </xf>
    <xf numFmtId="181" fontId="29" fillId="8" borderId="4" xfId="2276">
      <alignment horizontal="right" vertical="center" wrapText="1"/>
    </xf>
    <xf numFmtId="1" fontId="2" fillId="0" borderId="182" xfId="2277">
      <alignment horizontal="center" vertical="center" wrapText="1"/>
    </xf>
    <xf numFmtId="174" fontId="29" fillId="8" borderId="4" xfId="2278">
      <alignment horizontal="right" vertical="center" wrapText="1"/>
    </xf>
    <xf numFmtId="10" fontId="29" fillId="6" borderId="4" xfId="2279">
      <alignment horizontal="right" vertical="center" wrapText="1"/>
    </xf>
    <xf numFmtId="4" fontId="2" fillId="6" borderId="4" xfId="2280">
      <alignment vertical="center" wrapText="1"/>
    </xf>
    <xf numFmtId="0" fontId="60" fillId="0" borderId="0" xfId="2324">
      <alignment vertical="center"/>
    </xf>
    <xf numFmtId="0" fontId="7" fillId="0" borderId="31" xfId="2325">
      <alignment vertical="center"/>
    </xf>
    <xf numFmtId="0" fontId="61" fillId="0" borderId="31" xfId="2326"/>
    <xf numFmtId="0" fontId="61" fillId="0" borderId="27" xfId="2327">
      <alignment horizontal="center" vertical="center" wrapText="1"/>
    </xf>
    <xf numFmtId="0" fontId="3" fillId="11" borderId="196" xfId="2328">
      <alignment vertical="center"/>
    </xf>
    <xf numFmtId="0" fontId="3" fillId="11" borderId="197" xfId="2329">
      <alignment vertical="center"/>
    </xf>
    <xf numFmtId="0" fontId="3" fillId="11" borderId="197" xfId="2330">
      <alignment horizontal="left" vertical="center" indent="1"/>
    </xf>
    <xf numFmtId="0" fontId="3" fillId="11" borderId="198" xfId="2331">
      <alignment horizontal="left" vertical="center" indent="1"/>
    </xf>
    <xf numFmtId="0" fontId="3" fillId="11" borderId="199" xfId="2332">
      <alignment horizontal="left" vertical="center" indent="1"/>
    </xf>
    <xf numFmtId="0" fontId="3" fillId="11" borderId="20" xfId="2333">
      <alignment vertical="center"/>
    </xf>
    <xf numFmtId="0" fontId="3" fillId="11" borderId="200" xfId="2334">
      <alignment horizontal="left" vertical="center" indent="1"/>
    </xf>
    <xf numFmtId="0" fontId="3" fillId="11" borderId="201" xfId="2335">
      <alignment horizontal="left" vertical="center" indent="1"/>
    </xf>
    <xf numFmtId="0" fontId="3" fillId="0" borderId="30" xfId="2338"/>
    <xf numFmtId="0" fontId="3" fillId="11" borderId="25" xfId="2341">
      <alignment horizontal="left" vertical="center" indent="1"/>
    </xf>
    <xf numFmtId="0" fontId="3" fillId="11" borderId="31" xfId="2342">
      <alignment horizontal="left" vertical="center" indent="1"/>
    </xf>
    <xf numFmtId="0" fontId="3" fillId="11" borderId="26" xfId="2343">
      <alignment horizontal="left" vertical="center" indent="1"/>
    </xf>
    <xf numFmtId="0" fontId="3" fillId="0" borderId="26" xfId="2344">
      <alignment horizontal="left" vertical="center" indent="1"/>
    </xf>
    <xf numFmtId="0" fontId="63" fillId="0" borderId="26" xfId="2345">
      <alignment vertical="top"/>
    </xf>
    <xf numFmtId="0" fontId="3" fillId="0" borderId="27" xfId="2346">
      <alignment horizontal="left" vertical="center" indent="1"/>
    </xf>
    <xf numFmtId="0" fontId="7" fillId="19" borderId="4" xfId="2348">
      <alignment vertical="center" wrapText="1"/>
    </xf>
    <xf numFmtId="49" fontId="7" fillId="19" borderId="4" xfId="2349">
      <alignment vertical="center" wrapText="1"/>
    </xf>
    <xf numFmtId="49" fontId="64" fillId="0" borderId="0" xfId="2350">
      <alignment vertical="top" wrapText="1"/>
    </xf>
    <xf numFmtId="49" fontId="66" fillId="0" borderId="0" xfId="2355">
      <alignment horizontal="center" vertical="center" wrapText="1"/>
    </xf>
    <xf numFmtId="49" fontId="3" fillId="9" borderId="155" xfId="2356">
      <alignment horizontal="center" vertical="center" wrapText="1"/>
    </xf>
    <xf numFmtId="49" fontId="13" fillId="8" borderId="36" xfId="2357">
      <alignment vertical="center" wrapText="1"/>
    </xf>
    <xf numFmtId="49" fontId="59" fillId="20" borderId="0" xfId="2358">
      <alignment horizontal="center" vertical="center" wrapText="1"/>
      <protection locked="0"/>
    </xf>
    <xf numFmtId="49" fontId="59" fillId="21" borderId="0" xfId="2359">
      <alignment horizontal="center" vertical="top" wrapText="1"/>
    </xf>
    <xf numFmtId="49" fontId="56" fillId="6" borderId="27" xfId="2360">
      <alignment vertical="top" wrapText="1"/>
      <protection locked="0"/>
    </xf>
    <xf numFmtId="49" fontId="56" fillId="22" borderId="0" xfId="2361">
      <alignment horizontal="right" wrapText="1"/>
    </xf>
    <xf numFmtId="49" fontId="56" fillId="0" borderId="0" xfId="2362">
      <alignment wrapText="1"/>
    </xf>
    <xf numFmtId="0" fontId="3" fillId="22" borderId="0" xfId="2363">
      <alignment horizontal="right" vertical="center" wrapText="1"/>
    </xf>
    <xf numFmtId="0" fontId="56" fillId="0" borderId="0" xfId="2364">
      <alignment wrapText="1"/>
    </xf>
    <xf numFmtId="49" fontId="3" fillId="0" borderId="0" xfId="2365">
      <alignment wrapText="1"/>
      <protection locked="0"/>
    </xf>
    <xf numFmtId="49" fontId="3" fillId="0" borderId="0" xfId="2366">
      <alignment vertical="top" wrapText="1"/>
    </xf>
    <xf numFmtId="49" fontId="56" fillId="6" borderId="27" xfId="2367">
      <alignment horizontal="center" vertical="center" wrapText="1"/>
      <protection locked="0"/>
    </xf>
    <xf numFmtId="49" fontId="3" fillId="22" borderId="0" xfId="2368">
      <alignment horizontal="right" vertical="center" wrapText="1"/>
    </xf>
    <xf numFmtId="49" fontId="56" fillId="0" borderId="0" xfId="2369">
      <alignment vertical="top" wrapText="1"/>
    </xf>
    <xf numFmtId="0" fontId="76" fillId="6" borderId="27" xfId="2370">
      <alignment vertical="top" wrapText="1"/>
      <protection locked="0"/>
    </xf>
    <xf numFmtId="49" fontId="59" fillId="21" borderId="196" xfId="2372">
      <alignment horizontal="center" vertical="top" wrapText="1"/>
    </xf>
    <xf numFmtId="0" fontId="56" fillId="6" borderId="27" xfId="2373">
      <alignment horizontal="center" vertical="center" wrapText="1"/>
      <protection locked="0"/>
    </xf>
    <xf numFmtId="49" fontId="59" fillId="21" borderId="27" xfId="2374">
      <alignment horizontal="center" vertical="top" wrapText="1"/>
    </xf>
    <xf numFmtId="3" fontId="1" fillId="0" borderId="0" xfId="2375">
      <alignment vertical="top" wrapText="1"/>
    </xf>
    <xf numFmtId="49" fontId="56" fillId="0" borderId="0" xfId="2376">
      <alignment horizontal="left" vertical="center" wrapText="1"/>
    </xf>
    <xf numFmtId="0" fontId="3" fillId="0" borderId="0" xfId="2377">
      <alignment vertical="top" wrapText="1"/>
    </xf>
    <xf numFmtId="0" fontId="2" fillId="10" borderId="0" xfId="2378">
      <alignment horizontal="left" wrapText="1"/>
    </xf>
    <xf numFmtId="0" fontId="2" fillId="10" borderId="0" xfId="2379">
      <alignment wrapText="1"/>
    </xf>
    <xf numFmtId="49" fontId="25" fillId="0" borderId="4" xfId="2380">
      <alignment horizontal="center" vertical="center" wrapText="1"/>
    </xf>
    <xf numFmtId="49" fontId="25" fillId="0" borderId="36" xfId="2381">
      <alignment horizontal="center" vertical="center" wrapText="1"/>
    </xf>
    <xf numFmtId="0" fontId="3" fillId="11" borderId="133" xfId="2382">
      <alignment vertical="center" wrapText="1"/>
    </xf>
    <xf numFmtId="49" fontId="3" fillId="11" borderId="133" xfId="2383">
      <alignment horizontal="left" vertical="center" wrapText="1"/>
    </xf>
    <xf numFmtId="49" fontId="3" fillId="11" borderId="202" xfId="2384">
      <alignment horizontal="left" vertical="center" wrapText="1"/>
    </xf>
    <xf numFmtId="49" fontId="25" fillId="0" borderId="11" xfId="2385">
      <alignment horizontal="center" vertical="center" wrapText="1"/>
    </xf>
    <xf numFmtId="49" fontId="25" fillId="0" borderId="12" xfId="2386">
      <alignment horizontal="center" vertical="center" wrapText="1"/>
    </xf>
    <xf numFmtId="0" fontId="11" fillId="23" borderId="0" xfId="2390">
      <alignment wrapText="1"/>
    </xf>
    <xf numFmtId="0" fontId="3" fillId="6" borderId="157" xfId="2391">
      <alignment horizontal="left" vertical="center" wrapText="1"/>
      <protection locked="0"/>
    </xf>
    <xf numFmtId="49" fontId="3" fillId="6" borderId="65" xfId="2392">
      <alignment horizontal="right" vertical="center" wrapText="1"/>
      <protection locked="0"/>
    </xf>
    <xf numFmtId="49" fontId="1" fillId="6" borderId="65" xfId="2393">
      <alignment horizontal="left" vertical="center" wrapText="1"/>
      <protection locked="0"/>
    </xf>
    <xf numFmtId="49" fontId="3" fillId="6" borderId="156" xfId="2394">
      <alignment horizontal="center" vertical="center" wrapText="1"/>
      <protection locked="0"/>
    </xf>
    <xf numFmtId="0" fontId="3" fillId="0" borderId="4" xfId="2395">
      <alignment wrapText="1"/>
    </xf>
    <xf numFmtId="4" fontId="3" fillId="6" borderId="4" xfId="2396">
      <alignment wrapText="1"/>
      <protection locked="0"/>
    </xf>
    <xf numFmtId="0" fontId="52" fillId="13" borderId="4" xfId="2400">
      <alignment horizontal="left" vertical="center" wrapText="1"/>
    </xf>
    <xf numFmtId="4" fontId="13" fillId="8" borderId="174" xfId="2401">
      <alignment horizontal="right" vertical="center" wrapText="1"/>
    </xf>
    <xf numFmtId="0" fontId="16" fillId="0" borderId="133" xfId="2403">
      <alignment horizontal="left" vertical="center" wrapText="1"/>
    </xf>
    <xf numFmtId="49" fontId="3" fillId="6" borderId="131" xfId="2404">
      <alignment horizontal="left" vertical="center" wrapText="1"/>
      <protection locked="0"/>
    </xf>
    <xf numFmtId="4" fontId="13" fillId="8" borderId="131" xfId="2405">
      <alignment horizontal="right" vertical="center" wrapText="1"/>
    </xf>
    <xf numFmtId="4" fontId="13" fillId="8" borderId="134" xfId="2406">
      <alignment horizontal="right" vertical="center" wrapText="1"/>
    </xf>
    <xf numFmtId="49" fontId="66" fillId="0" borderId="16" xfId="2407">
      <alignment horizontal="right" vertical="center" wrapText="1"/>
    </xf>
    <xf numFmtId="49" fontId="66" fillId="0" borderId="16" xfId="2408">
      <alignment horizontal="center" vertical="center" wrapText="1"/>
    </xf>
    <xf numFmtId="0" fontId="3" fillId="0" borderId="46" xfId="2410">
      <alignment wrapText="1"/>
    </xf>
    <xf numFmtId="0" fontId="55" fillId="11" borderId="5" xfId="2411">
      <alignment vertical="center" wrapText="1"/>
    </xf>
    <xf numFmtId="3" fontId="3" fillId="6" borderId="16" xfId="2412">
      <alignment horizontal="right" vertical="center" wrapText="1"/>
      <protection locked="0"/>
    </xf>
    <xf numFmtId="49" fontId="3" fillId="6" borderId="157" xfId="2413">
      <alignment horizontal="left" vertical="center" wrapText="1"/>
      <protection locked="0"/>
    </xf>
    <xf numFmtId="4" fontId="3" fillId="6" borderId="157" xfId="2414">
      <alignment horizontal="right" vertical="center" wrapText="1"/>
      <protection locked="0"/>
    </xf>
    <xf numFmtId="0" fontId="3" fillId="0" borderId="4" xfId="2415" quotePrefix="1">
      <alignment horizontal="center" vertical="center" wrapText="1"/>
    </xf>
    <xf numFmtId="49" fontId="11" fillId="23" borderId="0" xfId="2416">
      <alignment wrapText="1"/>
    </xf>
    <xf numFmtId="49" fontId="3" fillId="0" borderId="0" xfId="2417">
      <alignment wrapText="1"/>
    </xf>
    <xf numFmtId="49" fontId="26" fillId="0" borderId="0" xfId="2418">
      <alignment horizontal="right" vertical="center" wrapText="1"/>
    </xf>
    <xf numFmtId="49" fontId="3" fillId="4" borderId="19" xfId="2420">
      <alignment horizontal="left" vertical="center" wrapText="1"/>
    </xf>
    <xf numFmtId="49" fontId="3" fillId="6" borderId="4" xfId="2421">
      <alignment vertical="top" wrapText="1"/>
      <protection locked="0"/>
    </xf>
    <xf numFmtId="49" fontId="18" fillId="11" borderId="19" xfId="2423">
      <alignment horizontal="left" vertical="center" wrapText="1"/>
    </xf>
    <xf numFmtId="49" fontId="26" fillId="0" borderId="0" xfId="2425">
      <alignment wrapText="1"/>
    </xf>
    <xf numFmtId="180" fontId="67" fillId="0" borderId="0" xfId="2426">
      <alignment vertical="top" wrapText="1"/>
    </xf>
    <xf numFmtId="49" fontId="67" fillId="0" borderId="0" xfId="2427">
      <alignment horizontal="center" vertical="top" wrapText="1"/>
    </xf>
    <xf numFmtId="49" fontId="3" fillId="0" borderId="16" xfId="2428">
      <alignment wrapText="1"/>
    </xf>
    <xf numFmtId="49" fontId="66" fillId="0" borderId="22" xfId="2429">
      <alignment horizontal="center" vertical="center" wrapText="1"/>
    </xf>
    <xf numFmtId="49" fontId="3" fillId="10" borderId="47" xfId="2430">
      <alignment horizontal="left" vertical="center" wrapText="1"/>
    </xf>
    <xf numFmtId="49" fontId="1" fillId="7" borderId="5" xfId="2431">
      <alignment horizontal="left" vertical="center" wrapText="1"/>
    </xf>
    <xf numFmtId="49" fontId="3" fillId="10" borderId="21" xfId="2432">
      <alignment horizontal="left" vertical="center" wrapText="1"/>
    </xf>
    <xf numFmtId="180" fontId="67" fillId="0" borderId="0" xfId="2433">
      <alignment wrapText="1"/>
    </xf>
    <xf numFmtId="0" fontId="3" fillId="10" borderId="37" xfId="2434">
      <alignment horizontal="center" vertical="center" wrapText="1"/>
    </xf>
    <xf numFmtId="49" fontId="3" fillId="0" borderId="21" xfId="2435">
      <alignment horizontal="left" vertical="center" wrapText="1"/>
    </xf>
    <xf numFmtId="0" fontId="3" fillId="0" borderId="5" xfId="2436" quotePrefix="1">
      <alignment horizontal="center" vertical="center" wrapText="1"/>
    </xf>
    <xf numFmtId="4" fontId="1" fillId="8" borderId="19" xfId="2438">
      <alignment horizontal="right" vertical="center" wrapText="1"/>
    </xf>
    <xf numFmtId="0" fontId="68" fillId="0" borderId="4" xfId="2439">
      <alignment wrapText="1"/>
    </xf>
    <xf numFmtId="49" fontId="67" fillId="0" borderId="0" xfId="2440">
      <alignment horizontal="center" vertical="center" wrapText="1"/>
    </xf>
    <xf numFmtId="49" fontId="1" fillId="0" borderId="0" xfId="2441">
      <alignment wrapText="1"/>
    </xf>
    <xf numFmtId="4" fontId="1" fillId="6" borderId="19" xfId="2442">
      <alignment horizontal="right" vertical="center" wrapText="1"/>
      <protection locked="0"/>
    </xf>
    <xf numFmtId="4" fontId="1" fillId="6" borderId="37" xfId="2443">
      <alignment horizontal="right" vertical="center" wrapText="1"/>
      <protection locked="0"/>
    </xf>
    <xf numFmtId="16" fontId="2" fillId="0" borderId="4" xfId="2444" quotePrefix="1">
      <alignment horizontal="center" vertical="center" wrapText="1"/>
    </xf>
    <xf numFmtId="4" fontId="3" fillId="6" borderId="1" xfId="2445">
      <alignment horizontal="right" vertical="center" wrapText="1"/>
      <protection locked="0"/>
    </xf>
    <xf numFmtId="4" fontId="3" fillId="6" borderId="3" xfId="2446">
      <alignment vertical="center" wrapText="1"/>
      <protection locked="0"/>
    </xf>
    <xf numFmtId="49" fontId="3" fillId="6" borderId="4" xfId="2447">
      <alignment wrapText="1"/>
      <protection locked="0"/>
    </xf>
    <xf numFmtId="49" fontId="3" fillId="3" borderId="4" xfId="2453">
      <alignment horizontal="left" vertical="center" wrapText="1"/>
      <protection locked="0"/>
    </xf>
    <xf numFmtId="49" fontId="3" fillId="3" borderId="4" xfId="2454" quotePrefix="1">
      <alignment horizontal="center" vertical="center" wrapText="1"/>
      <protection locked="0"/>
    </xf>
    <xf numFmtId="49" fontId="3" fillId="3" borderId="4" xfId="2455">
      <alignment horizontal="center" vertical="center" wrapText="1"/>
      <protection locked="0"/>
    </xf>
    <xf numFmtId="49" fontId="3" fillId="24" borderId="0" xfId="2456">
      <alignment vertical="top" wrapText="1"/>
    </xf>
    <xf numFmtId="49" fontId="70" fillId="24" borderId="0" xfId="2457">
      <alignment vertical="top" wrapText="1"/>
    </xf>
    <xf numFmtId="49" fontId="71" fillId="24" borderId="0" xfId="2458">
      <alignment wrapText="1"/>
    </xf>
    <xf numFmtId="0" fontId="71" fillId="24" borderId="0" xfId="2459">
      <alignment wrapText="1"/>
    </xf>
    <xf numFmtId="4" fontId="68" fillId="24" borderId="0" xfId="2460">
      <alignment wrapText="1"/>
    </xf>
    <xf numFmtId="171" fontId="3" fillId="6" borderId="65" xfId="2461">
      <alignment horizontal="right" vertical="center" wrapText="1"/>
      <protection locked="0"/>
    </xf>
    <xf numFmtId="171" fontId="3" fillId="8" borderId="65" xfId="2462">
      <alignment horizontal="right" vertical="center" wrapText="1"/>
    </xf>
    <xf numFmtId="171" fontId="3" fillId="6" borderId="157" xfId="2463">
      <alignment horizontal="right" vertical="center" wrapText="1"/>
      <protection locked="0"/>
    </xf>
    <xf numFmtId="4" fontId="2" fillId="6" borderId="19" xfId="2464">
      <alignment horizontal="right" vertical="center" wrapText="1"/>
      <protection locked="0"/>
    </xf>
    <xf numFmtId="0" fontId="72" fillId="9" borderId="0" xfId="2465">
      <alignment horizontal="center" vertical="center" wrapText="1"/>
    </xf>
    <xf numFmtId="49" fontId="2" fillId="0" borderId="1" xfId="2466" quotePrefix="1">
      <alignment horizontal="center" vertical="center" wrapText="1"/>
    </xf>
    <xf numFmtId="4" fontId="2" fillId="6" borderId="131" xfId="2467">
      <alignment horizontal="right" vertical="center" wrapText="1"/>
      <protection locked="0"/>
    </xf>
    <xf numFmtId="4" fontId="2" fillId="6" borderId="132" xfId="2468">
      <alignment horizontal="right" vertical="center" wrapText="1"/>
      <protection locked="0"/>
    </xf>
    <xf numFmtId="4" fontId="2" fillId="6" borderId="134" xfId="2469">
      <alignment horizontal="right" vertical="center" wrapText="1"/>
      <protection locked="0"/>
    </xf>
    <xf numFmtId="0" fontId="3" fillId="0" borderId="4" xfId="2470">
      <alignment horizontal="right" wrapText="1"/>
    </xf>
    <xf numFmtId="178" fontId="2" fillId="3" borderId="19" xfId="2471">
      <alignment horizontal="left" vertical="center" wrapText="1"/>
      <protection locked="0"/>
    </xf>
    <xf numFmtId="49" fontId="2" fillId="6" borderId="37" xfId="2472">
      <alignment horizontal="left" vertical="center" wrapText="1"/>
      <protection locked="0"/>
    </xf>
    <xf numFmtId="49" fontId="2" fillId="6" borderId="19" xfId="2473">
      <alignment horizontal="left" vertical="center" wrapText="1"/>
      <protection locked="0"/>
    </xf>
    <xf numFmtId="49" fontId="2" fillId="3" borderId="19" xfId="2474">
      <alignment horizontal="left" vertical="center" wrapText="1"/>
      <protection locked="0"/>
    </xf>
    <xf numFmtId="49" fontId="2" fillId="6" borderId="5" xfId="2475">
      <alignment horizontal="left" vertical="center" wrapText="1"/>
      <protection locked="0"/>
    </xf>
    <xf numFmtId="4" fontId="2" fillId="3" borderId="16" xfId="2476">
      <alignment horizontal="right" vertical="center" wrapText="1"/>
      <protection locked="0"/>
    </xf>
    <xf numFmtId="3" fontId="3" fillId="3" borderId="16" xfId="2477">
      <alignment horizontal="left" vertical="center" wrapText="1"/>
      <protection locked="0"/>
    </xf>
    <xf numFmtId="0" fontId="3" fillId="3" borderId="16" xfId="2478">
      <alignment horizontal="center" vertical="center" wrapText="1"/>
      <protection locked="0"/>
    </xf>
    <xf numFmtId="49" fontId="3" fillId="3" borderId="4" xfId="2479">
      <alignment vertical="center" wrapText="1"/>
      <protection locked="0"/>
    </xf>
    <xf numFmtId="10" fontId="2" fillId="6" borderId="159" xfId="2480">
      <alignment horizontal="right" vertical="center" wrapText="1"/>
      <protection locked="0"/>
    </xf>
    <xf numFmtId="4" fontId="2" fillId="6" borderId="159" xfId="2481">
      <alignment horizontal="right" vertical="center" wrapText="1"/>
      <protection locked="0"/>
    </xf>
    <xf numFmtId="4" fontId="2" fillId="6" borderId="160" xfId="2482">
      <alignment horizontal="right" vertical="center" wrapText="1"/>
      <protection locked="0"/>
    </xf>
    <xf numFmtId="4" fontId="2" fillId="6" borderId="203" xfId="2483">
      <alignment horizontal="right" vertical="center" wrapText="1"/>
      <protection locked="0"/>
    </xf>
    <xf numFmtId="4" fontId="2" fillId="6" borderId="204" xfId="2484">
      <alignment horizontal="right" vertical="center" wrapText="1"/>
      <protection locked="0"/>
    </xf>
    <xf numFmtId="0" fontId="2" fillId="0" borderId="0" xfId="2485">
      <alignment wrapText="1"/>
    </xf>
    <xf numFmtId="4" fontId="2" fillId="8" borderId="134" xfId="2486">
      <alignment horizontal="right" vertical="center" wrapText="1"/>
    </xf>
    <xf numFmtId="4" fontId="2" fillId="8" borderId="131" xfId="2487">
      <alignment horizontal="right" vertical="center" wrapText="1"/>
    </xf>
    <xf numFmtId="4" fontId="2" fillId="8" borderId="132" xfId="2488">
      <alignment horizontal="right" vertical="center" wrapText="1"/>
    </xf>
    <xf numFmtId="4" fontId="2" fillId="8" borderId="148" xfId="2489">
      <alignment horizontal="right" vertical="center" wrapText="1"/>
    </xf>
    <xf numFmtId="0" fontId="2" fillId="3" borderId="16" xfId="2490">
      <alignment horizontal="left" vertical="center" wrapText="1"/>
      <protection locked="0"/>
    </xf>
    <xf numFmtId="0" fontId="2" fillId="3" borderId="19" xfId="2491">
      <alignment horizontal="left" vertical="center" wrapText="1"/>
      <protection locked="0"/>
    </xf>
    <xf numFmtId="0" fontId="2" fillId="0" borderId="21" xfId="2492">
      <alignment horizontal="center" wrapText="1"/>
    </xf>
    <xf numFmtId="4" fontId="2" fillId="6" borderId="21" xfId="2493">
      <alignment horizontal="right" vertical="center" wrapText="1"/>
      <protection locked="0"/>
    </xf>
    <xf numFmtId="0" fontId="2" fillId="0" borderId="16" xfId="2494">
      <alignment horizontal="center" wrapText="1"/>
    </xf>
    <xf numFmtId="0" fontId="2" fillId="0" borderId="16" xfId="2495">
      <alignment horizontal="left" wrapText="1"/>
    </xf>
    <xf numFmtId="1" fontId="73" fillId="0" borderId="4" xfId="2496">
      <alignment horizontal="center" vertical="center" wrapText="1"/>
    </xf>
    <xf numFmtId="49" fontId="74" fillId="6" borderId="4" xfId="2497">
      <alignment horizontal="center" vertical="center" wrapText="1"/>
      <protection locked="0"/>
    </xf>
    <xf numFmtId="49" fontId="74" fillId="3" borderId="4" xfId="2498">
      <alignment horizontal="left" vertical="center" wrapText="1"/>
      <protection locked="0"/>
    </xf>
    <xf numFmtId="49" fontId="74" fillId="3" borderId="4" xfId="2499">
      <alignment horizontal="center" vertical="center" wrapText="1"/>
      <protection locked="0"/>
    </xf>
    <xf numFmtId="4" fontId="75" fillId="8" borderId="4" xfId="2500">
      <alignment horizontal="center" vertical="center" wrapText="1"/>
    </xf>
    <xf numFmtId="49" fontId="1" fillId="3" borderId="16" xfId="2501">
      <alignment horizontal="left" vertical="center" wrapText="1"/>
      <protection locked="0"/>
    </xf>
    <xf numFmtId="49" fontId="17" fillId="3" borderId="4" xfId="2502">
      <alignment horizontal="center" vertical="center" wrapText="1"/>
      <protection locked="0"/>
    </xf>
    <xf numFmtId="49" fontId="3" fillId="4" borderId="4" xfId="2503">
      <alignment horizontal="right" wrapText="1"/>
    </xf>
    <xf numFmtId="49" fontId="3" fillId="4" borderId="36" xfId="2504">
      <alignment horizontal="right" wrapText="1"/>
    </xf>
    <xf numFmtId="4" fontId="3" fillId="8" borderId="1" xfId="2505">
      <alignment horizontal="right" wrapText="1"/>
    </xf>
    <xf numFmtId="4" fontId="3" fillId="6" borderId="4" xfId="2506">
      <alignment horizontal="right" wrapText="1"/>
      <protection locked="0"/>
    </xf>
    <xf numFmtId="4" fontId="3" fillId="8" borderId="4" xfId="2507">
      <alignment horizontal="right" wrapText="1"/>
    </xf>
    <xf numFmtId="49" fontId="28" fillId="3" borderId="4" xfId="2508">
      <alignment horizontal="left" vertical="center" wrapText="1"/>
      <protection locked="0"/>
    </xf>
    <xf numFmtId="49" fontId="3" fillId="3" borderId="17" xfId="2510">
      <alignment horizontal="left" vertical="center" wrapText="1"/>
      <protection locked="0"/>
    </xf>
    <xf numFmtId="0" fontId="3" fillId="6" borderId="36" xfId="2511">
      <alignment horizontal="left" vertical="center" wrapText="1"/>
      <protection locked="0"/>
    </xf>
    <xf numFmtId="4" fontId="3" fillId="6" borderId="20" xfId="2514">
      <alignment vertical="center" wrapText="1"/>
      <protection locked="0"/>
    </xf>
    <xf numFmtId="4" fontId="3" fillId="6" borderId="43" xfId="2515">
      <alignment vertical="center" wrapText="1"/>
      <protection locked="0"/>
    </xf>
    <xf numFmtId="4" fontId="3" fillId="6" borderId="21" xfId="2516">
      <alignment vertical="center" wrapText="1"/>
      <protection locked="0"/>
    </xf>
    <xf numFmtId="4" fontId="3" fillId="6" borderId="148" xfId="2517">
      <alignment vertical="center" wrapText="1"/>
      <protection locked="0"/>
    </xf>
    <xf numFmtId="49" fontId="3" fillId="19" borderId="207" xfId="2518">
      <alignment horizontal="center" vertical="center" textRotation="90" wrapText="1"/>
    </xf>
    <xf numFmtId="0" fontId="3" fillId="19" borderId="207" xfId="2519">
      <alignment horizontal="center" vertical="center" textRotation="90" wrapText="1"/>
    </xf>
    <xf numFmtId="49" fontId="3" fillId="22" borderId="0" xfId="2520">
      <alignment vertical="top" wrapText="1"/>
    </xf>
    <xf numFmtId="0" fontId="3" fillId="22" borderId="0" xfId="2521">
      <alignment vertical="top" wrapText="1"/>
    </xf>
    <xf numFmtId="4" fontId="1" fillId="22" borderId="0" xfId="2522">
      <alignment vertical="top" wrapText="1"/>
    </xf>
    <xf numFmtId="0" fontId="1" fillId="22" borderId="0" xfId="2523">
      <alignment vertical="top" wrapText="1"/>
    </xf>
    <xf numFmtId="4" fontId="3" fillId="22" borderId="0" xfId="2524">
      <alignment vertical="top" wrapText="1"/>
    </xf>
    <xf numFmtId="49" fontId="3" fillId="25" borderId="0" xfId="2525">
      <alignment vertical="top" wrapText="1"/>
    </xf>
    <xf numFmtId="0" fontId="3" fillId="25" borderId="0" xfId="2526">
      <alignment vertical="top" wrapText="1"/>
    </xf>
    <xf numFmtId="4" fontId="1" fillId="25" borderId="0" xfId="2527">
      <alignment vertical="top" wrapText="1"/>
    </xf>
    <xf numFmtId="49" fontId="3" fillId="26" borderId="0" xfId="2528">
      <alignment vertical="top" wrapText="1"/>
    </xf>
    <xf numFmtId="0" fontId="3" fillId="26" borderId="0" xfId="2529">
      <alignment vertical="top" wrapText="1"/>
    </xf>
    <xf numFmtId="4" fontId="1" fillId="26" borderId="0" xfId="2530">
      <alignment vertical="top" wrapText="1"/>
    </xf>
    <xf numFmtId="0" fontId="1" fillId="26" borderId="0" xfId="2531">
      <alignment vertical="top" wrapText="1"/>
    </xf>
    <xf numFmtId="0" fontId="68" fillId="0" borderId="0" xfId="2532">
      <alignment wrapText="1"/>
    </xf>
    <xf numFmtId="49" fontId="2" fillId="0" borderId="1" xfId="4">
      <alignment horizontal="left" vertical="center" wrapText="1"/>
    </xf>
    <xf numFmtId="49" fontId="2" fillId="0" borderId="2" xfId="5">
      <alignment horizontal="left" vertical="center" wrapText="1"/>
    </xf>
    <xf numFmtId="49" fontId="2" fillId="0" borderId="3" xfId="6">
      <alignment horizontal="left" vertical="center" wrapText="1"/>
    </xf>
    <xf numFmtId="49" fontId="2" fillId="0" borderId="1" xfId="12">
      <alignment horizontal="center" vertical="center" wrapText="1"/>
    </xf>
    <xf numFmtId="49" fontId="2" fillId="0" borderId="2" xfId="13">
      <alignment horizontal="center" vertical="center" wrapText="1"/>
    </xf>
    <xf numFmtId="49" fontId="2" fillId="0" borderId="3" xfId="14">
      <alignment horizontal="center" vertical="center" wrapText="1"/>
    </xf>
    <xf numFmtId="0" fontId="3" fillId="0" borderId="5" xfId="17">
      <alignment horizontal="center" vertical="center" wrapText="1"/>
    </xf>
    <xf numFmtId="0" fontId="0" fillId="0" borderId="0" xfId="0">
      <alignment vertical="top"/>
    </xf>
    <xf numFmtId="0" fontId="6" fillId="0" borderId="0" xfId="22">
      <alignment horizontal="left" vertical="center" wrapText="1"/>
    </xf>
    <xf numFmtId="49" fontId="59" fillId="20" borderId="39" xfId="2371">
      <alignment horizontal="center" vertical="center" wrapText="1"/>
      <protection locked="0"/>
    </xf>
    <xf numFmtId="49" fontId="59" fillId="20" borderId="0" xfId="2358">
      <alignment horizontal="center" vertical="center" wrapText="1"/>
      <protection locked="0"/>
    </xf>
    <xf numFmtId="0" fontId="3" fillId="0" borderId="5" xfId="51">
      <alignment horizontal="left" vertical="center" wrapText="1"/>
    </xf>
    <xf numFmtId="49" fontId="13" fillId="0" borderId="5" xfId="2347">
      <alignment horizontal="left" vertical="center" wrapText="1"/>
    </xf>
    <xf numFmtId="0" fontId="62" fillId="0" borderId="40" xfId="2336">
      <alignment horizontal="right" vertical="top" wrapText="1"/>
    </xf>
    <xf numFmtId="0" fontId="3" fillId="0" borderId="27" xfId="2337">
      <alignment horizontal="center" vertical="center"/>
    </xf>
    <xf numFmtId="0" fontId="3" fillId="0" borderId="26" xfId="2339">
      <alignment horizontal="center" vertical="center"/>
    </xf>
    <xf numFmtId="0" fontId="3" fillId="0" borderId="25" xfId="2340">
      <alignment horizontal="center" vertical="center"/>
    </xf>
    <xf numFmtId="0" fontId="3" fillId="9" borderId="0" xfId="52">
      <alignment horizontal="center" vertical="center" wrapText="1"/>
    </xf>
    <xf numFmtId="49" fontId="1" fillId="0" borderId="5" xfId="77">
      <alignment horizontal="left" vertical="center" wrapText="1"/>
    </xf>
    <xf numFmtId="0" fontId="13" fillId="0" borderId="18" xfId="76">
      <alignment horizontal="left" vertical="center" wrapText="1"/>
    </xf>
    <xf numFmtId="0" fontId="2" fillId="0" borderId="41" xfId="171">
      <alignment horizontal="center" vertical="center" wrapText="1"/>
    </xf>
    <xf numFmtId="0" fontId="2" fillId="0" borderId="0" xfId="170">
      <alignment horizontal="center" vertical="center" wrapText="1"/>
    </xf>
    <xf numFmtId="0" fontId="3" fillId="0" borderId="16" xfId="174">
      <alignment horizontal="left" vertical="center" wrapText="1"/>
    </xf>
    <xf numFmtId="49" fontId="3" fillId="0" borderId="16" xfId="188">
      <alignment horizontal="left" vertical="center" wrapText="1"/>
    </xf>
    <xf numFmtId="0" fontId="3" fillId="0" borderId="16" xfId="190">
      <alignment horizontal="center" vertical="center" wrapText="1"/>
    </xf>
    <xf numFmtId="0" fontId="3" fillId="6" borderId="19" xfId="182">
      <alignment horizontal="left" vertical="center" wrapText="1"/>
      <protection locked="0"/>
    </xf>
    <xf numFmtId="0" fontId="3" fillId="6" borderId="5" xfId="183">
      <alignment horizontal="left" vertical="center" wrapText="1"/>
      <protection locked="0"/>
    </xf>
    <xf numFmtId="0" fontId="3" fillId="6" borderId="37" xfId="184">
      <alignment horizontal="left" vertical="center" wrapText="1"/>
      <protection locked="0"/>
    </xf>
    <xf numFmtId="0" fontId="3" fillId="8" borderId="19" xfId="185">
      <alignment horizontal="left" vertical="center" wrapText="1"/>
    </xf>
    <xf numFmtId="0" fontId="3" fillId="8" borderId="5" xfId="186">
      <alignment horizontal="left" vertical="center" wrapText="1"/>
    </xf>
    <xf numFmtId="0" fontId="3" fillId="8" borderId="37" xfId="187">
      <alignment horizontal="left" vertical="center" wrapText="1"/>
    </xf>
    <xf numFmtId="4" fontId="3" fillId="8" borderId="16" xfId="189">
      <alignment horizontal="left" vertical="center" wrapText="1"/>
    </xf>
    <xf numFmtId="0" fontId="2" fillId="0" borderId="5" xfId="173">
      <alignment horizontal="left" vertical="center" wrapText="1"/>
    </xf>
    <xf numFmtId="0" fontId="2" fillId="0" borderId="0" xfId="172">
      <alignment horizontal="center" wrapText="1"/>
    </xf>
    <xf numFmtId="0" fontId="3" fillId="8" borderId="16" xfId="181">
      <alignment horizontal="left" vertical="center" wrapText="1"/>
    </xf>
    <xf numFmtId="0" fontId="3" fillId="6" borderId="35" xfId="175">
      <alignment horizontal="left" vertical="center" wrapText="1"/>
      <protection locked="0"/>
    </xf>
    <xf numFmtId="0" fontId="3" fillId="6" borderId="17" xfId="176">
      <alignment horizontal="left" vertical="center" wrapText="1"/>
      <protection locked="0"/>
    </xf>
    <xf numFmtId="0" fontId="3" fillId="6" borderId="42" xfId="177">
      <alignment horizontal="left" vertical="center" wrapText="1"/>
      <protection locked="0"/>
    </xf>
    <xf numFmtId="0" fontId="3" fillId="6" borderId="20" xfId="178">
      <alignment horizontal="left" vertical="center" wrapText="1"/>
      <protection locked="0"/>
    </xf>
    <xf numFmtId="0" fontId="3" fillId="6" borderId="18" xfId="179">
      <alignment horizontal="left" vertical="center" wrapText="1"/>
      <protection locked="0"/>
    </xf>
    <xf numFmtId="0" fontId="3" fillId="6" borderId="43" xfId="180">
      <alignment horizontal="left" vertical="center" wrapText="1"/>
      <protection locked="0"/>
    </xf>
    <xf numFmtId="0" fontId="2" fillId="0" borderId="0" xfId="222">
      <alignment horizontal="left" vertical="center" wrapText="1"/>
    </xf>
    <xf numFmtId="0" fontId="2" fillId="0" borderId="16" xfId="205">
      <alignment horizontal="center" vertical="center" wrapText="1"/>
    </xf>
    <xf numFmtId="0" fontId="3" fillId="13" borderId="19" xfId="206">
      <alignment horizontal="left" vertical="center" wrapText="1"/>
    </xf>
    <xf numFmtId="0" fontId="3" fillId="13" borderId="5" xfId="204">
      <alignment horizontal="left" vertical="center" wrapText="1"/>
    </xf>
    <xf numFmtId="0" fontId="3" fillId="13" borderId="22" xfId="191">
      <alignment horizontal="left" vertical="center" wrapText="1"/>
    </xf>
    <xf numFmtId="0" fontId="3" fillId="0" borderId="35" xfId="226">
      <alignment horizontal="center" vertical="center" wrapText="1"/>
    </xf>
    <xf numFmtId="0" fontId="3" fillId="0" borderId="42" xfId="227">
      <alignment horizontal="center" vertical="center" wrapText="1"/>
    </xf>
    <xf numFmtId="0" fontId="3" fillId="0" borderId="38" xfId="229">
      <alignment horizontal="center" vertical="center" wrapText="1"/>
    </xf>
    <xf numFmtId="0" fontId="3" fillId="0" borderId="20" xfId="232">
      <alignment horizontal="center" vertical="center" wrapText="1"/>
    </xf>
    <xf numFmtId="0" fontId="3" fillId="0" borderId="43" xfId="233">
      <alignment horizontal="center" vertical="center" wrapText="1"/>
    </xf>
    <xf numFmtId="0" fontId="3" fillId="0" borderId="22" xfId="228">
      <alignment horizontal="center" vertical="center" wrapText="1"/>
    </xf>
    <xf numFmtId="0" fontId="3" fillId="0" borderId="47" xfId="231">
      <alignment horizontal="center" vertical="center" wrapText="1"/>
    </xf>
    <xf numFmtId="0" fontId="1" fillId="0" borderId="16" xfId="225">
      <alignment horizontal="center" vertical="center" wrapText="1"/>
    </xf>
    <xf numFmtId="0" fontId="16" fillId="0" borderId="18" xfId="224">
      <alignment horizontal="left" vertical="center" wrapText="1"/>
    </xf>
    <xf numFmtId="0" fontId="3" fillId="0" borderId="0" xfId="253">
      <alignment horizontal="left" wrapText="1"/>
    </xf>
    <xf numFmtId="0" fontId="1" fillId="0" borderId="18" xfId="241">
      <alignment horizontal="left" vertical="center" wrapText="1"/>
    </xf>
    <xf numFmtId="49" fontId="3" fillId="0" borderId="5" xfId="254">
      <alignment horizontal="left" vertical="center" wrapText="1"/>
    </xf>
    <xf numFmtId="0" fontId="3" fillId="0" borderId="0" xfId="258">
      <alignment horizontal="left" vertical="center" wrapText="1"/>
    </xf>
    <xf numFmtId="49" fontId="3" fillId="0" borderId="5" xfId="277">
      <alignment horizontal="center" vertical="center" wrapText="1"/>
    </xf>
    <xf numFmtId="0" fontId="3" fillId="0" borderId="19" xfId="285">
      <alignment horizontal="left" vertical="center" wrapText="1"/>
    </xf>
    <xf numFmtId="49" fontId="3" fillId="0" borderId="16" xfId="84">
      <alignment horizontal="center" vertical="center" wrapText="1"/>
    </xf>
    <xf numFmtId="0" fontId="3" fillId="0" borderId="36" xfId="314">
      <alignment horizontal="center" vertical="center" wrapText="1"/>
    </xf>
    <xf numFmtId="0" fontId="3" fillId="0" borderId="54" xfId="328">
      <alignment horizontal="center" vertical="center" wrapText="1"/>
    </xf>
    <xf numFmtId="0" fontId="3" fillId="0" borderId="28" xfId="335">
      <alignment horizontal="center" vertical="center" wrapText="1"/>
    </xf>
    <xf numFmtId="0" fontId="3" fillId="0" borderId="11" xfId="332">
      <alignment horizontal="center" vertical="center" wrapText="1"/>
    </xf>
    <xf numFmtId="0" fontId="3" fillId="0" borderId="9" xfId="358">
      <alignment horizontal="center" vertical="center" wrapText="1"/>
    </xf>
    <xf numFmtId="0" fontId="3" fillId="0" borderId="14" xfId="359">
      <alignment horizontal="center" vertical="center" wrapText="1"/>
    </xf>
    <xf numFmtId="0" fontId="13" fillId="0" borderId="16" xfId="365">
      <alignment horizontal="center" vertical="center" wrapText="1"/>
    </xf>
    <xf numFmtId="0" fontId="13" fillId="0" borderId="35" xfId="362">
      <alignment horizontal="center" vertical="center" wrapText="1"/>
    </xf>
    <xf numFmtId="0" fontId="13" fillId="0" borderId="20" xfId="370">
      <alignment horizontal="center" vertical="center" wrapText="1"/>
    </xf>
    <xf numFmtId="0" fontId="13" fillId="0" borderId="42" xfId="364">
      <alignment horizontal="center" vertical="center" wrapText="1"/>
    </xf>
    <xf numFmtId="0" fontId="13" fillId="0" borderId="43" xfId="371">
      <alignment horizontal="center" vertical="center" wrapText="1"/>
    </xf>
    <xf numFmtId="0" fontId="3" fillId="0" borderId="21" xfId="195">
      <alignment horizontal="center" vertical="center" wrapText="1"/>
    </xf>
    <xf numFmtId="0" fontId="3" fillId="0" borderId="4" xfId="210">
      <alignment horizontal="center" vertical="center" wrapText="1"/>
    </xf>
    <xf numFmtId="0" fontId="1" fillId="0" borderId="4" xfId="426">
      <alignment horizontal="center" vertical="center" wrapText="1"/>
    </xf>
    <xf numFmtId="49" fontId="3" fillId="0" borderId="14" xfId="495">
      <alignment horizontal="center" vertical="center" wrapText="1"/>
    </xf>
    <xf numFmtId="0" fontId="2" fillId="10" borderId="16" xfId="785">
      <alignment horizontal="center" vertical="center" wrapText="1"/>
    </xf>
    <xf numFmtId="0" fontId="3" fillId="0" borderId="108" xfId="880">
      <alignment horizontal="center" vertical="center" wrapText="1"/>
    </xf>
    <xf numFmtId="0" fontId="29" fillId="6" borderId="0" xfId="845">
      <alignment horizontal="center" vertical="center" wrapText="1"/>
      <protection locked="0"/>
    </xf>
    <xf numFmtId="0" fontId="3" fillId="10" borderId="36" xfId="846">
      <alignment horizontal="left" vertical="center" wrapText="1"/>
    </xf>
    <xf numFmtId="0" fontId="3" fillId="10" borderId="28" xfId="850">
      <alignment horizontal="left" vertical="center" wrapText="1"/>
    </xf>
    <xf numFmtId="0" fontId="3" fillId="10" borderId="4" xfId="847">
      <alignment horizontal="center" vertical="center" wrapText="1"/>
    </xf>
    <xf numFmtId="1" fontId="3" fillId="10" borderId="4" xfId="848">
      <alignment horizontal="center" vertical="center" wrapText="1"/>
    </xf>
    <xf numFmtId="0" fontId="29" fillId="0" borderId="4" xfId="861">
      <alignment horizontal="center" vertical="center" wrapText="1"/>
    </xf>
    <xf numFmtId="0" fontId="2" fillId="0" borderId="0" xfId="843">
      <alignment horizontal="right" wrapText="1"/>
    </xf>
    <xf numFmtId="49" fontId="3" fillId="6" borderId="41" xfId="879">
      <alignment horizontal="center" vertical="center" wrapText="1"/>
      <protection locked="0"/>
    </xf>
    <xf numFmtId="0" fontId="16" fillId="0" borderId="0" xfId="844">
      <alignment horizontal="left" vertical="center" wrapText="1"/>
    </xf>
    <xf numFmtId="0" fontId="29" fillId="0" borderId="15" xfId="937">
      <alignment horizontal="left" vertical="center" wrapText="1"/>
    </xf>
    <xf numFmtId="0" fontId="1" fillId="0" borderId="0" xfId="946">
      <alignment horizontal="left" vertical="center" wrapText="1"/>
    </xf>
    <xf numFmtId="0" fontId="29" fillId="0" borderId="0" xfId="945">
      <alignment horizontal="left" vertical="center" wrapText="1"/>
    </xf>
    <xf numFmtId="0" fontId="2" fillId="0" borderId="4" xfId="758">
      <alignment horizontal="left" vertical="center" wrapText="1"/>
    </xf>
    <xf numFmtId="49" fontId="3" fillId="0" borderId="4" xfId="208">
      <alignment horizontal="center" vertical="center" wrapText="1"/>
    </xf>
    <xf numFmtId="49" fontId="3" fillId="0" borderId="1" xfId="883">
      <alignment horizontal="center" vertical="center" wrapText="1"/>
    </xf>
    <xf numFmtId="0" fontId="29" fillId="0" borderId="1" xfId="938">
      <alignment horizontal="center" vertical="center" wrapText="1"/>
    </xf>
    <xf numFmtId="0" fontId="29" fillId="0" borderId="2" xfId="939">
      <alignment horizontal="center" vertical="center" wrapText="1"/>
    </xf>
    <xf numFmtId="49" fontId="3" fillId="0" borderId="4" xfId="884">
      <alignment vertical="center" wrapText="1"/>
    </xf>
    <xf numFmtId="172" fontId="3" fillId="8" borderId="4" xfId="891">
      <alignment horizontal="center" vertical="center" wrapText="1"/>
    </xf>
    <xf numFmtId="9" fontId="3" fillId="8" borderId="4" xfId="889">
      <alignment horizontal="center" vertical="center" wrapText="1"/>
    </xf>
    <xf numFmtId="0" fontId="13" fillId="6" borderId="0" xfId="881">
      <alignment horizontal="center" vertical="center" wrapText="1"/>
      <protection locked="0"/>
    </xf>
    <xf numFmtId="49" fontId="3" fillId="0" borderId="41" xfId="882">
      <alignment horizontal="center" vertical="center" wrapText="1"/>
    </xf>
    <xf numFmtId="0" fontId="29" fillId="0" borderId="36" xfId="940">
      <alignment horizontal="center" vertical="center" wrapText="1"/>
    </xf>
    <xf numFmtId="0" fontId="29" fillId="0" borderId="28" xfId="941">
      <alignment horizontal="center" vertical="center" wrapText="1"/>
    </xf>
    <xf numFmtId="0" fontId="2" fillId="6" borderId="0" xfId="953" quotePrefix="1">
      <alignment horizontal="center" vertical="center" wrapText="1"/>
      <protection locked="0"/>
    </xf>
    <xf numFmtId="49" fontId="3" fillId="6" borderId="0" xfId="890">
      <alignment horizontal="left" vertical="center" wrapText="1"/>
      <protection locked="0"/>
    </xf>
    <xf numFmtId="49" fontId="3" fillId="0" borderId="0" xfId="897">
      <alignment horizontal="center" vertical="center" wrapText="1"/>
    </xf>
    <xf numFmtId="0" fontId="3" fillId="0" borderId="0" xfId="279">
      <alignment horizontal="center" vertical="center" wrapText="1"/>
    </xf>
    <xf numFmtId="0" fontId="29" fillId="0" borderId="4" xfId="872">
      <alignment horizontal="left" vertical="center" wrapText="1"/>
    </xf>
    <xf numFmtId="49" fontId="31" fillId="0" borderId="19" xfId="1093">
      <alignment horizontal="left" vertical="center" wrapText="1"/>
    </xf>
    <xf numFmtId="49" fontId="31" fillId="0" borderId="5" xfId="1094">
      <alignment horizontal="left" vertical="center" wrapText="1"/>
    </xf>
    <xf numFmtId="49" fontId="31" fillId="0" borderId="37" xfId="1095">
      <alignment horizontal="left" vertical="center" wrapText="1"/>
    </xf>
    <xf numFmtId="0" fontId="31" fillId="0" borderId="19" xfId="1108">
      <alignment vertical="center" wrapText="1"/>
    </xf>
    <xf numFmtId="49" fontId="31" fillId="0" borderId="5" xfId="1106">
      <alignment vertical="center" wrapText="1"/>
    </xf>
    <xf numFmtId="49" fontId="31" fillId="0" borderId="37" xfId="1107">
      <alignment vertical="center" wrapText="1"/>
    </xf>
    <xf numFmtId="49" fontId="36" fillId="9" borderId="0" xfId="1091">
      <alignment horizontal="left" vertical="center" wrapText="1"/>
    </xf>
    <xf numFmtId="49" fontId="36" fillId="9" borderId="0" xfId="1092">
      <alignment horizontal="left" vertical="top" wrapText="1"/>
    </xf>
    <xf numFmtId="49" fontId="31" fillId="9" borderId="0" xfId="1085">
      <alignment horizontal="left" vertical="center" wrapText="1"/>
    </xf>
    <xf numFmtId="49" fontId="31" fillId="0" borderId="4" xfId="1099">
      <alignment horizontal="left" vertical="center" wrapText="1"/>
    </xf>
    <xf numFmtId="0" fontId="31" fillId="0" borderId="0" xfId="973">
      <alignment horizontal="left" vertical="center" wrapText="1"/>
    </xf>
    <xf numFmtId="49" fontId="31" fillId="0" borderId="19" xfId="1105">
      <alignment vertical="center" wrapText="1"/>
    </xf>
    <xf numFmtId="49" fontId="31" fillId="6" borderId="0" xfId="960">
      <alignment horizontal="left" vertical="center" wrapText="1"/>
      <protection locked="0"/>
    </xf>
    <xf numFmtId="49" fontId="31" fillId="9" borderId="0" xfId="1090">
      <alignment horizontal="left" vertical="top" wrapText="1"/>
    </xf>
    <xf numFmtId="0" fontId="31" fillId="6" borderId="0" xfId="961">
      <alignment horizontal="left" vertical="center" wrapText="1"/>
      <protection locked="0"/>
    </xf>
    <xf numFmtId="49" fontId="32" fillId="0" borderId="4" xfId="1101">
      <alignment horizontal="left" vertical="center" wrapText="1"/>
    </xf>
    <xf numFmtId="0" fontId="35" fillId="0" borderId="0" xfId="1044">
      <alignment horizontal="left" vertical="center" wrapText="1"/>
    </xf>
    <xf numFmtId="0" fontId="31" fillId="6" borderId="46" xfId="1089">
      <alignment horizontal="left" vertical="center" wrapText="1"/>
      <protection locked="0"/>
    </xf>
    <xf numFmtId="0" fontId="31" fillId="0" borderId="16" xfId="1047">
      <alignment horizontal="left" vertical="center" wrapText="1"/>
    </xf>
    <xf numFmtId="4" fontId="31" fillId="6" borderId="19" xfId="1048">
      <alignment horizontal="right" vertical="center" wrapText="1"/>
      <protection locked="0"/>
    </xf>
    <xf numFmtId="4" fontId="31" fillId="6" borderId="37" xfId="1027">
      <alignment horizontal="right" vertical="center" wrapText="1"/>
      <protection locked="0"/>
    </xf>
    <xf numFmtId="49" fontId="31" fillId="0" borderId="16" xfId="1008">
      <alignment horizontal="center" vertical="center" wrapText="1"/>
    </xf>
    <xf numFmtId="49" fontId="31" fillId="4" borderId="16" xfId="1086">
      <alignment horizontal="center" vertical="center" wrapText="1"/>
    </xf>
    <xf numFmtId="4" fontId="31" fillId="8" borderId="19" xfId="1087">
      <alignment horizontal="right" vertical="center" wrapText="1"/>
    </xf>
    <xf numFmtId="4" fontId="31" fillId="8" borderId="37" xfId="1088">
      <alignment horizontal="right" vertical="center" wrapText="1"/>
    </xf>
    <xf numFmtId="0" fontId="31" fillId="9" borderId="0" xfId="1078">
      <alignment horizontal="left" vertical="center" wrapText="1"/>
    </xf>
    <xf numFmtId="49" fontId="31" fillId="6" borderId="4" xfId="1077">
      <alignment horizontal="left" vertical="center" wrapText="1"/>
      <protection locked="0"/>
    </xf>
    <xf numFmtId="0" fontId="31" fillId="0" borderId="19" xfId="1073">
      <alignment horizontal="left" vertical="center" wrapText="1"/>
    </xf>
    <xf numFmtId="0" fontId="31" fillId="0" borderId="5" xfId="1074">
      <alignment horizontal="left" vertical="center" wrapText="1"/>
    </xf>
    <xf numFmtId="0" fontId="31" fillId="0" borderId="37" xfId="1075">
      <alignment horizontal="left" vertical="center" wrapText="1"/>
    </xf>
    <xf numFmtId="49" fontId="31" fillId="6" borderId="19" xfId="1028">
      <alignment horizontal="left" vertical="center" wrapText="1"/>
      <protection locked="0"/>
    </xf>
    <xf numFmtId="49" fontId="31" fillId="6" borderId="5" xfId="1029">
      <alignment horizontal="left" vertical="center" wrapText="1"/>
      <protection locked="0"/>
    </xf>
    <xf numFmtId="0" fontId="31" fillId="0" borderId="35" xfId="1032">
      <alignment horizontal="center" vertical="center" wrapText="1"/>
    </xf>
    <xf numFmtId="0" fontId="31" fillId="0" borderId="17" xfId="1033">
      <alignment horizontal="center" vertical="center" wrapText="1"/>
    </xf>
    <xf numFmtId="0" fontId="31" fillId="0" borderId="42" xfId="1034">
      <alignment horizontal="center" vertical="center" wrapText="1"/>
    </xf>
    <xf numFmtId="0" fontId="31" fillId="0" borderId="20" xfId="1037">
      <alignment horizontal="center" vertical="center" wrapText="1"/>
    </xf>
    <xf numFmtId="0" fontId="31" fillId="0" borderId="18" xfId="1038">
      <alignment horizontal="center" vertical="center" wrapText="1"/>
    </xf>
    <xf numFmtId="0" fontId="31" fillId="0" borderId="43" xfId="1039">
      <alignment horizontal="center" vertical="center" wrapText="1"/>
    </xf>
    <xf numFmtId="0" fontId="31" fillId="0" borderId="19" xfId="1056">
      <alignment horizontal="center" vertical="center" wrapText="1"/>
    </xf>
    <xf numFmtId="0" fontId="31" fillId="0" borderId="37" xfId="1055">
      <alignment horizontal="center" vertical="center" wrapText="1"/>
    </xf>
    <xf numFmtId="0" fontId="32" fillId="0" borderId="35" xfId="1057">
      <alignment horizontal="center" vertical="center" wrapText="1"/>
    </xf>
    <xf numFmtId="0" fontId="32" fillId="0" borderId="17" xfId="1058">
      <alignment horizontal="center" vertical="center" wrapText="1"/>
    </xf>
    <xf numFmtId="0" fontId="32" fillId="0" borderId="42" xfId="1059">
      <alignment horizontal="center" vertical="center" wrapText="1"/>
    </xf>
    <xf numFmtId="0" fontId="32" fillId="0" borderId="20" xfId="1063">
      <alignment horizontal="center" vertical="center" wrapText="1"/>
    </xf>
    <xf numFmtId="0" fontId="32" fillId="0" borderId="18" xfId="1064">
      <alignment horizontal="center" vertical="center" wrapText="1"/>
    </xf>
    <xf numFmtId="0" fontId="32" fillId="0" borderId="43" xfId="1065">
      <alignment horizontal="center" vertical="center" wrapText="1"/>
    </xf>
    <xf numFmtId="0" fontId="32" fillId="0" borderId="20" xfId="1066">
      <alignment horizontal="left" vertical="center" wrapText="1"/>
    </xf>
    <xf numFmtId="0" fontId="32" fillId="0" borderId="18" xfId="1067">
      <alignment horizontal="left" vertical="center" wrapText="1"/>
    </xf>
    <xf numFmtId="0" fontId="32" fillId="0" borderId="43" xfId="1068">
      <alignment horizontal="left" vertical="center" wrapText="1"/>
    </xf>
    <xf numFmtId="0" fontId="31" fillId="0" borderId="46" xfId="989">
      <alignment horizontal="left" vertical="center" wrapText="1"/>
    </xf>
    <xf numFmtId="0" fontId="31" fillId="0" borderId="38" xfId="1051">
      <alignment horizontal="center" vertical="center" wrapText="1"/>
    </xf>
    <xf numFmtId="49" fontId="31" fillId="0" borderId="19" xfId="1026">
      <alignment horizontal="center" vertical="center" wrapText="1"/>
    </xf>
    <xf numFmtId="49" fontId="31" fillId="0" borderId="5" xfId="1045">
      <alignment horizontal="center" vertical="center" wrapText="1"/>
    </xf>
    <xf numFmtId="49" fontId="31" fillId="0" borderId="37" xfId="1046">
      <alignment horizontal="center" vertical="center" wrapText="1"/>
    </xf>
    <xf numFmtId="0" fontId="31" fillId="0" borderId="0" xfId="959">
      <alignment horizontal="left" wrapText="1"/>
    </xf>
    <xf numFmtId="177" fontId="31" fillId="6" borderId="4" xfId="955">
      <alignment horizontal="center" vertical="center" wrapText="1"/>
      <protection locked="0"/>
    </xf>
    <xf numFmtId="0" fontId="32" fillId="0" borderId="0" xfId="956">
      <alignment horizontal="center" vertical="center" wrapText="1"/>
    </xf>
    <xf numFmtId="0" fontId="32" fillId="0" borderId="0" xfId="957">
      <alignment horizontal="center" wrapText="1"/>
    </xf>
    <xf numFmtId="0" fontId="32" fillId="0" borderId="0" xfId="958">
      <alignment horizontal="left" wrapText="1"/>
    </xf>
    <xf numFmtId="0" fontId="31" fillId="0" borderId="0" xfId="962">
      <alignment horizontal="center" wrapText="1"/>
    </xf>
    <xf numFmtId="178" fontId="31" fillId="6" borderId="16" xfId="963">
      <alignment horizontal="center" vertical="center" wrapText="1"/>
      <protection locked="0"/>
    </xf>
    <xf numFmtId="49" fontId="31" fillId="6" borderId="16" xfId="964">
      <alignment horizontal="center" vertical="center" wrapText="1"/>
      <protection locked="0"/>
    </xf>
    <xf numFmtId="0" fontId="31" fillId="6" borderId="0" xfId="967">
      <alignment vertical="center" wrapText="1"/>
      <protection locked="0"/>
    </xf>
    <xf numFmtId="178" fontId="31" fillId="6" borderId="22" xfId="965">
      <alignment horizontal="center" vertical="center" wrapText="1"/>
      <protection locked="0"/>
    </xf>
    <xf numFmtId="0" fontId="31" fillId="6" borderId="19" xfId="966">
      <alignment horizontal="left" vertical="center" wrapText="1"/>
      <protection locked="0"/>
    </xf>
    <xf numFmtId="170" fontId="31" fillId="6" borderId="1" xfId="969">
      <alignment horizontal="center" vertical="center" wrapText="1"/>
      <protection locked="0"/>
    </xf>
    <xf numFmtId="170" fontId="31" fillId="6" borderId="3" xfId="970">
      <alignment horizontal="center" vertical="center" wrapText="1"/>
      <protection locked="0"/>
    </xf>
    <xf numFmtId="0" fontId="31" fillId="6" borderId="1" xfId="971">
      <alignment horizontal="center" vertical="center" wrapText="1"/>
      <protection locked="0"/>
    </xf>
    <xf numFmtId="0" fontId="31" fillId="6" borderId="0" xfId="972">
      <alignment horizontal="left" vertical="center"/>
      <protection locked="0"/>
    </xf>
    <xf numFmtId="0" fontId="31" fillId="0" borderId="4" xfId="976">
      <alignment horizontal="left" vertical="center" wrapText="1"/>
    </xf>
    <xf numFmtId="0" fontId="32" fillId="0" borderId="4" xfId="981">
      <alignment horizontal="left" vertical="center" wrapText="1"/>
    </xf>
    <xf numFmtId="0" fontId="31" fillId="6" borderId="0" xfId="975">
      <alignment horizontal="center" vertical="center" wrapText="1"/>
      <protection locked="0"/>
    </xf>
    <xf numFmtId="0" fontId="31" fillId="0" borderId="4" xfId="977">
      <alignment horizontal="center" vertical="center" wrapText="1"/>
    </xf>
    <xf numFmtId="0" fontId="31" fillId="6" borderId="0" xfId="992">
      <alignment horizontal="left" wrapText="1"/>
      <protection locked="0"/>
    </xf>
    <xf numFmtId="0" fontId="31" fillId="0" borderId="38" xfId="995">
      <alignment horizontal="center" wrapText="1"/>
    </xf>
    <xf numFmtId="49" fontId="31" fillId="0" borderId="0" xfId="988">
      <alignment horizontal="left" vertical="center" wrapText="1"/>
    </xf>
    <xf numFmtId="0" fontId="32" fillId="0" borderId="0" xfId="996">
      <alignment horizontal="left" vertical="center" wrapText="1"/>
    </xf>
    <xf numFmtId="0" fontId="32" fillId="6" borderId="0" xfId="1001">
      <alignment horizontal="left" vertical="center" wrapText="1"/>
      <protection locked="0"/>
    </xf>
    <xf numFmtId="49" fontId="31" fillId="6" borderId="19" xfId="998">
      <alignment horizontal="center" vertical="center" wrapText="1"/>
      <protection locked="0"/>
    </xf>
    <xf numFmtId="49" fontId="31" fillId="6" borderId="5" xfId="999">
      <alignment horizontal="center" vertical="center" wrapText="1"/>
      <protection locked="0"/>
    </xf>
    <xf numFmtId="49" fontId="31" fillId="6" borderId="37" xfId="1000">
      <alignment horizontal="center" vertical="center" wrapText="1"/>
      <protection locked="0"/>
    </xf>
    <xf numFmtId="0" fontId="31" fillId="6" borderId="16" xfId="1006">
      <alignment horizontal="left" vertical="center" wrapText="1"/>
      <protection locked="0"/>
    </xf>
    <xf numFmtId="49" fontId="31" fillId="6" borderId="16" xfId="1007">
      <alignment horizontal="left" vertical="center" wrapText="1"/>
      <protection locked="0"/>
    </xf>
    <xf numFmtId="4" fontId="31" fillId="6" borderId="16" xfId="1010">
      <alignment horizontal="left" vertical="center" wrapText="1"/>
      <protection locked="0"/>
    </xf>
    <xf numFmtId="0" fontId="32" fillId="0" borderId="16" xfId="1002">
      <alignment horizontal="center" vertical="center" wrapText="1"/>
    </xf>
    <xf numFmtId="0" fontId="32" fillId="0" borderId="19" xfId="1003">
      <alignment horizontal="center" vertical="center" wrapText="1"/>
    </xf>
    <xf numFmtId="0" fontId="32" fillId="0" borderId="37" xfId="1004">
      <alignment horizontal="center" vertical="center" wrapText="1"/>
    </xf>
    <xf numFmtId="0" fontId="33" fillId="6" borderId="16" xfId="1009">
      <alignment horizontal="left" vertical="center" wrapText="1"/>
      <protection locked="0"/>
    </xf>
    <xf numFmtId="0" fontId="31" fillId="0" borderId="112" xfId="1052">
      <alignment horizontal="center" vertical="center" wrapText="1"/>
    </xf>
    <xf numFmtId="0" fontId="31" fillId="0" borderId="113" xfId="1053">
      <alignment horizontal="center" vertical="center" wrapText="1"/>
    </xf>
    <xf numFmtId="0" fontId="31" fillId="0" borderId="114" xfId="1054">
      <alignment horizontal="center" vertical="center" wrapText="1"/>
    </xf>
    <xf numFmtId="0" fontId="31" fillId="0" borderId="115" xfId="1060">
      <alignment horizontal="center" vertical="center" wrapText="1"/>
    </xf>
    <xf numFmtId="0" fontId="31" fillId="0" borderId="116" xfId="1061">
      <alignment horizontal="center" vertical="center" wrapText="1"/>
    </xf>
    <xf numFmtId="0" fontId="31" fillId="0" borderId="117" xfId="1062">
      <alignment horizontal="center" vertical="center" wrapText="1"/>
    </xf>
    <xf numFmtId="0" fontId="31" fillId="0" borderId="16" xfId="1005">
      <alignment horizontal="center" vertical="center" wrapText="1"/>
    </xf>
    <xf numFmtId="4" fontId="31" fillId="6" borderId="19" xfId="1011">
      <alignment horizontal="center" vertical="center" wrapText="1"/>
      <protection locked="0"/>
    </xf>
    <xf numFmtId="4" fontId="31" fillId="6" borderId="5" xfId="1012">
      <alignment horizontal="center" vertical="center" wrapText="1"/>
      <protection locked="0"/>
    </xf>
    <xf numFmtId="4" fontId="31" fillId="6" borderId="37" xfId="1013">
      <alignment horizontal="center" vertical="center" wrapText="1"/>
      <protection locked="0"/>
    </xf>
    <xf numFmtId="49" fontId="31" fillId="0" borderId="110" xfId="1015">
      <alignment horizontal="center" vertical="center" wrapText="1"/>
    </xf>
    <xf numFmtId="49" fontId="31" fillId="0" borderId="111" xfId="1016">
      <alignment horizontal="center" vertical="center" wrapText="1"/>
    </xf>
    <xf numFmtId="49" fontId="31" fillId="13" borderId="35" xfId="1020">
      <alignment horizontal="left" vertical="center" wrapText="1"/>
    </xf>
    <xf numFmtId="49" fontId="31" fillId="13" borderId="17" xfId="1021">
      <alignment horizontal="left" vertical="center" wrapText="1"/>
    </xf>
    <xf numFmtId="49" fontId="31" fillId="13" borderId="5" xfId="1022">
      <alignment horizontal="left" vertical="center" wrapText="1"/>
    </xf>
    <xf numFmtId="49" fontId="31" fillId="13" borderId="37" xfId="1023">
      <alignment horizontal="left" vertical="center" wrapText="1"/>
    </xf>
    <xf numFmtId="49" fontId="31" fillId="0" borderId="16" xfId="1041">
      <alignment horizontal="left" vertical="center" wrapText="1"/>
    </xf>
    <xf numFmtId="0" fontId="34" fillId="0" borderId="0" xfId="1043">
      <alignment horizontal="left" vertical="center" wrapText="1"/>
    </xf>
    <xf numFmtId="0" fontId="31" fillId="0" borderId="22" xfId="1035">
      <alignment horizontal="center" vertical="center" wrapText="1"/>
    </xf>
    <xf numFmtId="0" fontId="31" fillId="0" borderId="21" xfId="1040">
      <alignment horizontal="center" vertical="center" wrapText="1"/>
    </xf>
    <xf numFmtId="49" fontId="31" fillId="6" borderId="37" xfId="1030">
      <alignment horizontal="left" vertical="center" wrapText="1"/>
      <protection locked="0"/>
    </xf>
    <xf numFmtId="0" fontId="31" fillId="0" borderId="17" xfId="1031">
      <alignment horizontal="left" vertical="center" wrapText="1"/>
    </xf>
    <xf numFmtId="0" fontId="37" fillId="6" borderId="0" xfId="1118">
      <alignment horizontal="left" vertical="center" wrapText="1"/>
      <protection locked="0"/>
    </xf>
    <xf numFmtId="0" fontId="32" fillId="0" borderId="16" xfId="1119">
      <alignment horizontal="left" vertical="center" wrapText="1"/>
    </xf>
    <xf numFmtId="0" fontId="31" fillId="0" borderId="5" xfId="1120">
      <alignment horizontal="center" vertical="center" wrapText="1"/>
    </xf>
    <xf numFmtId="0" fontId="32" fillId="15" borderId="38" xfId="1111">
      <alignment horizontal="left" vertical="center" wrapText="1"/>
    </xf>
    <xf numFmtId="0" fontId="32" fillId="15" borderId="0" xfId="1112">
      <alignment horizontal="left" vertical="center" wrapText="1"/>
    </xf>
    <xf numFmtId="0" fontId="32" fillId="15" borderId="46" xfId="1113">
      <alignment horizontal="left" vertical="center" wrapText="1"/>
    </xf>
    <xf numFmtId="3" fontId="32" fillId="15" borderId="20" xfId="1114">
      <alignment horizontal="center" vertical="center" wrapText="1"/>
    </xf>
    <xf numFmtId="3" fontId="32" fillId="15" borderId="18" xfId="1115">
      <alignment horizontal="center" vertical="center" wrapText="1"/>
    </xf>
    <xf numFmtId="0" fontId="32" fillId="0" borderId="19" xfId="1080">
      <alignment horizontal="left" vertical="center" wrapText="1"/>
    </xf>
    <xf numFmtId="0" fontId="32" fillId="0" borderId="5" xfId="1081">
      <alignment horizontal="left" vertical="center" wrapText="1"/>
    </xf>
    <xf numFmtId="0" fontId="32" fillId="0" borderId="37" xfId="1082">
      <alignment horizontal="left" vertical="center" wrapText="1"/>
    </xf>
    <xf numFmtId="0" fontId="31" fillId="6" borderId="35" xfId="1070">
      <alignment horizontal="center" vertical="center" wrapText="1"/>
      <protection locked="0"/>
    </xf>
    <xf numFmtId="0" fontId="31" fillId="6" borderId="17" xfId="1071">
      <alignment horizontal="center" vertical="center" wrapText="1"/>
      <protection locked="0"/>
    </xf>
    <xf numFmtId="0" fontId="31" fillId="6" borderId="42" xfId="1072">
      <alignment horizontal="center" vertical="center" wrapText="1"/>
      <protection locked="0"/>
    </xf>
    <xf numFmtId="0" fontId="31" fillId="0" borderId="0" xfId="993">
      <alignment horizontal="center" vertical="center" wrapText="1"/>
    </xf>
    <xf numFmtId="0" fontId="37" fillId="0" borderId="0" xfId="1117">
      <alignment horizontal="center" vertical="center" wrapText="1"/>
    </xf>
    <xf numFmtId="0" fontId="31" fillId="0" borderId="0" xfId="1229">
      <alignment wrapText="1"/>
    </xf>
    <xf numFmtId="49" fontId="31" fillId="6" borderId="0" xfId="1230">
      <alignment vertical="center" wrapText="1"/>
      <protection locked="0"/>
    </xf>
    <xf numFmtId="0" fontId="31" fillId="6" borderId="4" xfId="1231">
      <alignment horizontal="left" vertical="center" wrapText="1"/>
      <protection locked="0"/>
    </xf>
    <xf numFmtId="0" fontId="31" fillId="6" borderId="1" xfId="1232">
      <alignment horizontal="left" vertical="center" wrapText="1"/>
      <protection locked="0"/>
    </xf>
    <xf numFmtId="0" fontId="31" fillId="6" borderId="3" xfId="1233">
      <alignment horizontal="left" vertical="center" wrapText="1"/>
      <protection locked="0"/>
    </xf>
    <xf numFmtId="0" fontId="31" fillId="6" borderId="0" xfId="1247">
      <alignment horizontal="left" vertical="center" wrapText="1"/>
    </xf>
    <xf numFmtId="49" fontId="31" fillId="6" borderId="19" xfId="1248">
      <alignment horizontal="left" vertical="center" wrapText="1"/>
    </xf>
    <xf numFmtId="49" fontId="31" fillId="6" borderId="5" xfId="1249">
      <alignment horizontal="left" vertical="center" wrapText="1"/>
    </xf>
    <xf numFmtId="49" fontId="31" fillId="6" borderId="37" xfId="1250">
      <alignment horizontal="left" vertical="center" wrapText="1"/>
    </xf>
    <xf numFmtId="0" fontId="31" fillId="6" borderId="17" xfId="1251">
      <alignment horizontal="left" vertical="center" wrapText="1"/>
      <protection locked="0"/>
    </xf>
    <xf numFmtId="3" fontId="31" fillId="0" borderId="35" xfId="1252">
      <alignment horizontal="center" vertical="center" wrapText="1"/>
    </xf>
    <xf numFmtId="3" fontId="31" fillId="0" borderId="17" xfId="1253">
      <alignment horizontal="center" vertical="center" wrapText="1"/>
    </xf>
    <xf numFmtId="3" fontId="31" fillId="0" borderId="42" xfId="1254">
      <alignment horizontal="center" vertical="center" wrapText="1"/>
    </xf>
    <xf numFmtId="3" fontId="31" fillId="0" borderId="20" xfId="1255">
      <alignment horizontal="center" vertical="center" wrapText="1"/>
    </xf>
    <xf numFmtId="3" fontId="31" fillId="0" borderId="18" xfId="1256">
      <alignment horizontal="center" vertical="center" wrapText="1"/>
    </xf>
    <xf numFmtId="3" fontId="31" fillId="0" borderId="43" xfId="1257">
      <alignment horizontal="center" vertical="center" wrapText="1"/>
    </xf>
    <xf numFmtId="49" fontId="32" fillId="6" borderId="0" xfId="1259">
      <alignment horizontal="left" vertical="center" wrapText="1"/>
      <protection locked="0"/>
    </xf>
    <xf numFmtId="1" fontId="3" fillId="0" borderId="0" xfId="1127">
      <alignment horizontal="left" wrapText="1"/>
    </xf>
    <xf numFmtId="49" fontId="3" fillId="0" borderId="0" xfId="1126">
      <alignment horizontal="left" wrapText="1"/>
    </xf>
    <xf numFmtId="177" fontId="38" fillId="0" borderId="4" xfId="1122">
      <alignment horizontal="center" vertical="center" wrapText="1"/>
    </xf>
    <xf numFmtId="0" fontId="13" fillId="0" borderId="0" xfId="1123">
      <alignment horizontal="center" vertical="center" wrapText="1"/>
    </xf>
    <xf numFmtId="0" fontId="13" fillId="0" borderId="0" xfId="1124">
      <alignment horizontal="center" wrapText="1"/>
    </xf>
    <xf numFmtId="0" fontId="13" fillId="0" borderId="0" xfId="1125">
      <alignment horizontal="left" wrapText="1"/>
    </xf>
    <xf numFmtId="0" fontId="3" fillId="0" borderId="0" xfId="1128">
      <alignment horizontal="center" wrapText="1"/>
    </xf>
    <xf numFmtId="178" fontId="3" fillId="6" borderId="16" xfId="1129">
      <alignment horizontal="center" vertical="center" wrapText="1"/>
      <protection locked="0"/>
    </xf>
    <xf numFmtId="49" fontId="3" fillId="6" borderId="16" xfId="70">
      <alignment horizontal="center" vertical="center" wrapText="1"/>
      <protection locked="0"/>
    </xf>
    <xf numFmtId="0" fontId="3" fillId="0" borderId="0" xfId="1131">
      <alignment wrapText="1"/>
    </xf>
    <xf numFmtId="178" fontId="3" fillId="6" borderId="22" xfId="1130">
      <alignment horizontal="center" vertical="center" wrapText="1"/>
      <protection locked="0"/>
    </xf>
    <xf numFmtId="170" fontId="3" fillId="6" borderId="1" xfId="1132">
      <alignment horizontal="center" vertical="center" wrapText="1"/>
      <protection locked="0"/>
    </xf>
    <xf numFmtId="170" fontId="3" fillId="6" borderId="3" xfId="1133">
      <alignment horizontal="center" vertical="center" wrapText="1"/>
      <protection locked="0"/>
    </xf>
    <xf numFmtId="0" fontId="3" fillId="6" borderId="0" xfId="1134">
      <alignment horizontal="left" vertical="center" wrapText="1"/>
      <protection locked="0"/>
    </xf>
    <xf numFmtId="0" fontId="3" fillId="0" borderId="118" xfId="1136">
      <alignment horizontal="center" vertical="center" wrapText="1"/>
    </xf>
    <xf numFmtId="0" fontId="3" fillId="0" borderId="119" xfId="1138">
      <alignment horizontal="left" vertical="center" wrapText="1"/>
    </xf>
    <xf numFmtId="0" fontId="3" fillId="0" borderId="120" xfId="1139">
      <alignment horizontal="left" vertical="center" wrapText="1"/>
    </xf>
    <xf numFmtId="0" fontId="3" fillId="0" borderId="121" xfId="1140">
      <alignment horizontal="left" vertical="center" wrapText="1"/>
    </xf>
    <xf numFmtId="0" fontId="13" fillId="0" borderId="123" xfId="1144">
      <alignment horizontal="left" vertical="center" wrapText="1"/>
    </xf>
    <xf numFmtId="0" fontId="13" fillId="0" borderId="124" xfId="1145">
      <alignment horizontal="left" vertical="center" wrapText="1"/>
    </xf>
    <xf numFmtId="0" fontId="13" fillId="0" borderId="125" xfId="1146">
      <alignment horizontal="left" vertical="center" wrapText="1"/>
    </xf>
    <xf numFmtId="0" fontId="3" fillId="6" borderId="0" xfId="1135">
      <alignment horizontal="center" vertical="center" wrapText="1"/>
      <protection locked="0"/>
    </xf>
    <xf numFmtId="0" fontId="3" fillId="0" borderId="38" xfId="1153">
      <alignment horizontal="center" wrapText="1"/>
    </xf>
    <xf numFmtId="0" fontId="13" fillId="0" borderId="0" xfId="1154">
      <alignment horizontal="left" vertical="center" wrapText="1"/>
    </xf>
    <xf numFmtId="49" fontId="3" fillId="6" borderId="19" xfId="1156">
      <alignment horizontal="center" vertical="center" wrapText="1"/>
      <protection locked="0"/>
    </xf>
    <xf numFmtId="49" fontId="3" fillId="6" borderId="5" xfId="1157">
      <alignment horizontal="center" vertical="center" wrapText="1"/>
      <protection locked="0"/>
    </xf>
    <xf numFmtId="49" fontId="3" fillId="6" borderId="37" xfId="1158">
      <alignment horizontal="center" vertical="center" wrapText="1"/>
      <protection locked="0"/>
    </xf>
    <xf numFmtId="49" fontId="3" fillId="6" borderId="16" xfId="390">
      <alignment horizontal="left" vertical="center" wrapText="1"/>
      <protection locked="0"/>
    </xf>
    <xf numFmtId="0" fontId="13" fillId="0" borderId="19" xfId="81">
      <alignment horizontal="center" vertical="center" wrapText="1"/>
    </xf>
    <xf numFmtId="0" fontId="13" fillId="0" borderId="37" xfId="693">
      <alignment horizontal="center" vertical="center" wrapText="1"/>
    </xf>
    <xf numFmtId="0" fontId="39" fillId="0" borderId="16" xfId="1159">
      <alignment horizontal="left" vertical="center" wrapText="1"/>
    </xf>
    <xf numFmtId="0" fontId="3" fillId="0" borderId="46" xfId="1160">
      <alignment horizontal="left" vertical="center" wrapText="1"/>
    </xf>
    <xf numFmtId="4" fontId="3" fillId="6" borderId="16" xfId="1161">
      <alignment horizontal="left" vertical="center" wrapText="1"/>
      <protection locked="0"/>
    </xf>
    <xf numFmtId="0" fontId="3" fillId="6" borderId="16" xfId="1162">
      <alignment horizontal="left" vertical="center" wrapText="1"/>
      <protection locked="0"/>
    </xf>
    <xf numFmtId="49" fontId="3" fillId="0" borderId="110" xfId="1167">
      <alignment horizontal="center" vertical="center" wrapText="1"/>
    </xf>
    <xf numFmtId="49" fontId="3" fillId="0" borderId="111" xfId="1168">
      <alignment horizontal="center" vertical="center" wrapText="1"/>
    </xf>
    <xf numFmtId="49" fontId="3" fillId="13" borderId="35" xfId="1170">
      <alignment horizontal="left" vertical="center" wrapText="1"/>
    </xf>
    <xf numFmtId="49" fontId="3" fillId="13" borderId="17" xfId="1171">
      <alignment horizontal="left" vertical="center" wrapText="1"/>
    </xf>
    <xf numFmtId="49" fontId="3" fillId="13" borderId="5" xfId="1172">
      <alignment horizontal="left" vertical="center" wrapText="1"/>
    </xf>
    <xf numFmtId="49" fontId="3" fillId="13" borderId="37" xfId="1173">
      <alignment horizontal="left" vertical="center" wrapText="1"/>
    </xf>
    <xf numFmtId="4" fontId="3" fillId="6" borderId="19" xfId="1163">
      <alignment horizontal="center" vertical="center" wrapText="1"/>
      <protection locked="0"/>
    </xf>
    <xf numFmtId="4" fontId="3" fillId="6" borderId="5" xfId="1164">
      <alignment horizontal="center" vertical="center" wrapText="1"/>
      <protection locked="0"/>
    </xf>
    <xf numFmtId="4" fontId="3" fillId="6" borderId="37" xfId="1165">
      <alignment horizontal="center" vertical="center" wrapText="1"/>
      <protection locked="0"/>
    </xf>
    <xf numFmtId="49" fontId="3" fillId="6" borderId="19" xfId="1174">
      <alignment horizontal="left" vertical="center" wrapText="1"/>
      <protection locked="0"/>
    </xf>
    <xf numFmtId="49" fontId="3" fillId="6" borderId="5" xfId="1175">
      <alignment horizontal="left" vertical="center" wrapText="1"/>
      <protection locked="0"/>
    </xf>
    <xf numFmtId="49" fontId="3" fillId="6" borderId="37" xfId="1176">
      <alignment horizontal="left" vertical="center" wrapText="1"/>
      <protection locked="0"/>
    </xf>
    <xf numFmtId="0" fontId="3" fillId="0" borderId="17" xfId="1177">
      <alignment horizontal="left" vertical="center" wrapText="1"/>
    </xf>
    <xf numFmtId="3" fontId="3" fillId="0" borderId="35" xfId="1178">
      <alignment horizontal="center" vertical="center" wrapText="1"/>
    </xf>
    <xf numFmtId="3" fontId="3" fillId="0" borderId="17" xfId="1179">
      <alignment horizontal="center" vertical="center" wrapText="1"/>
    </xf>
    <xf numFmtId="3" fontId="3" fillId="0" borderId="42" xfId="1180">
      <alignment horizontal="center" vertical="center" wrapText="1"/>
    </xf>
    <xf numFmtId="3" fontId="3" fillId="0" borderId="20" xfId="1181">
      <alignment horizontal="center" vertical="center" wrapText="1"/>
    </xf>
    <xf numFmtId="3" fontId="3" fillId="0" borderId="18" xfId="1182">
      <alignment horizontal="center" vertical="center" wrapText="1"/>
    </xf>
    <xf numFmtId="3" fontId="3" fillId="0" borderId="43" xfId="1183">
      <alignment horizontal="center" vertical="center" wrapText="1"/>
    </xf>
    <xf numFmtId="0" fontId="6" fillId="0" borderId="0" xfId="1185">
      <alignment horizontal="left" wrapText="1"/>
    </xf>
    <xf numFmtId="0" fontId="40" fillId="0" borderId="0" xfId="1186">
      <alignment horizontal="left" vertical="center" wrapText="1"/>
    </xf>
    <xf numFmtId="0" fontId="41" fillId="0" borderId="0" xfId="1187">
      <alignment horizontal="left" vertical="center" wrapText="1"/>
    </xf>
    <xf numFmtId="4" fontId="3" fillId="8" borderId="19" xfId="581">
      <alignment horizontal="right" vertical="center" wrapText="1"/>
    </xf>
    <xf numFmtId="4" fontId="3" fillId="8" borderId="37" xfId="583">
      <alignment horizontal="right" vertical="center" wrapText="1"/>
    </xf>
    <xf numFmtId="49" fontId="3" fillId="0" borderId="19" xfId="1137">
      <alignment horizontal="center" vertical="center" wrapText="1"/>
    </xf>
    <xf numFmtId="49" fontId="3" fillId="0" borderId="37" xfId="1188">
      <alignment horizontal="center" vertical="center" wrapText="1"/>
    </xf>
    <xf numFmtId="0" fontId="3" fillId="0" borderId="112" xfId="1190">
      <alignment horizontal="center" vertical="center" wrapText="1"/>
    </xf>
    <xf numFmtId="0" fontId="3" fillId="0" borderId="113" xfId="1191">
      <alignment horizontal="center" vertical="center" wrapText="1"/>
    </xf>
    <xf numFmtId="0" fontId="3" fillId="0" borderId="114" xfId="1192">
      <alignment horizontal="center" vertical="center" wrapText="1"/>
    </xf>
    <xf numFmtId="0" fontId="3" fillId="0" borderId="115" xfId="1194">
      <alignment horizontal="center" vertical="center" wrapText="1"/>
    </xf>
    <xf numFmtId="0" fontId="3" fillId="0" borderId="116" xfId="1195">
      <alignment horizontal="center" vertical="center" wrapText="1"/>
    </xf>
    <xf numFmtId="0" fontId="3" fillId="0" borderId="117" xfId="1196">
      <alignment horizontal="center" vertical="center" wrapText="1"/>
    </xf>
    <xf numFmtId="0" fontId="3" fillId="0" borderId="19" xfId="267">
      <alignment horizontal="center" vertical="center" wrapText="1"/>
    </xf>
    <xf numFmtId="0" fontId="3" fillId="0" borderId="37" xfId="532">
      <alignment horizontal="center" vertical="center" wrapText="1"/>
    </xf>
    <xf numFmtId="0" fontId="13" fillId="0" borderId="17" xfId="1193">
      <alignment horizontal="center" vertical="center" wrapText="1"/>
    </xf>
    <xf numFmtId="0" fontId="13" fillId="0" borderId="18" xfId="1197">
      <alignment horizontal="center" vertical="center" wrapText="1"/>
    </xf>
    <xf numFmtId="0" fontId="3" fillId="0" borderId="37" xfId="1200">
      <alignment horizontal="left" vertical="center" wrapText="1"/>
    </xf>
    <xf numFmtId="0" fontId="13" fillId="0" borderId="20" xfId="306">
      <alignment horizontal="left" vertical="center" wrapText="1"/>
    </xf>
    <xf numFmtId="0" fontId="13" fillId="0" borderId="43" xfId="1198">
      <alignment horizontal="left" vertical="center" wrapText="1"/>
    </xf>
    <xf numFmtId="0" fontId="13" fillId="0" borderId="19" xfId="1201">
      <alignment horizontal="left" vertical="center" wrapText="1"/>
    </xf>
    <xf numFmtId="0" fontId="13" fillId="0" borderId="5" xfId="1202">
      <alignment horizontal="left" vertical="center" wrapText="1"/>
    </xf>
    <xf numFmtId="0" fontId="13" fillId="0" borderId="37" xfId="1203">
      <alignment horizontal="left" vertical="center" wrapText="1"/>
    </xf>
    <xf numFmtId="0" fontId="3" fillId="0" borderId="17" xfId="1204">
      <alignment horizontal="center" vertical="center" wrapText="1"/>
    </xf>
    <xf numFmtId="0" fontId="3" fillId="0" borderId="18" xfId="1205">
      <alignment horizontal="center" vertical="center" wrapText="1"/>
    </xf>
    <xf numFmtId="49" fontId="3" fillId="0" borderId="19" xfId="1208">
      <alignment horizontal="left" vertical="center" wrapText="1"/>
    </xf>
    <xf numFmtId="49" fontId="3" fillId="0" borderId="37" xfId="1209">
      <alignment horizontal="left" vertical="center" wrapText="1"/>
    </xf>
    <xf numFmtId="4" fontId="3" fillId="8" borderId="16" xfId="203">
      <alignment horizontal="right" vertical="center" wrapText="1"/>
    </xf>
    <xf numFmtId="0" fontId="3" fillId="15" borderId="38" xfId="1210">
      <alignment horizontal="center" vertical="center" wrapText="1"/>
    </xf>
    <xf numFmtId="0" fontId="3" fillId="15" borderId="0" xfId="1211">
      <alignment horizontal="center" vertical="center" wrapText="1"/>
    </xf>
    <xf numFmtId="49" fontId="13" fillId="0" borderId="16" xfId="1212">
      <alignment horizontal="left" vertical="center" wrapText="1"/>
    </xf>
    <xf numFmtId="4" fontId="13" fillId="8" borderId="19" xfId="1213">
      <alignment horizontal="center" vertical="center" wrapText="1"/>
    </xf>
    <xf numFmtId="4" fontId="13" fillId="8" borderId="5" xfId="1214">
      <alignment horizontal="center" vertical="center" wrapText="1"/>
    </xf>
    <xf numFmtId="4" fontId="13" fillId="8" borderId="37" xfId="1215">
      <alignment horizontal="center" vertical="center" wrapText="1"/>
    </xf>
    <xf numFmtId="49" fontId="3" fillId="0" borderId="19" xfId="1217">
      <alignment vertical="center" wrapText="1"/>
    </xf>
    <xf numFmtId="49" fontId="3" fillId="0" borderId="5" xfId="1218">
      <alignment vertical="center" wrapText="1"/>
    </xf>
    <xf numFmtId="49" fontId="3" fillId="0" borderId="37" xfId="1219">
      <alignment vertical="center" wrapText="1"/>
    </xf>
    <xf numFmtId="0" fontId="13" fillId="15" borderId="38" xfId="1221">
      <alignment horizontal="left" vertical="center" wrapText="1"/>
    </xf>
    <xf numFmtId="0" fontId="13" fillId="15" borderId="0" xfId="1222">
      <alignment horizontal="left" vertical="center" wrapText="1"/>
    </xf>
    <xf numFmtId="0" fontId="13" fillId="15" borderId="46" xfId="1223">
      <alignment horizontal="left" vertical="center" wrapText="1"/>
    </xf>
    <xf numFmtId="3" fontId="13" fillId="15" borderId="20" xfId="1224">
      <alignment horizontal="center" vertical="center" wrapText="1"/>
    </xf>
    <xf numFmtId="3" fontId="13" fillId="15" borderId="18" xfId="1225">
      <alignment horizontal="center" vertical="center" wrapText="1"/>
    </xf>
    <xf numFmtId="0" fontId="43" fillId="0" borderId="0" xfId="1227">
      <alignment horizontal="left" vertical="center" wrapText="1"/>
    </xf>
    <xf numFmtId="0" fontId="13" fillId="0" borderId="16" xfId="402">
      <alignment horizontal="left" vertical="center" wrapText="1"/>
    </xf>
    <xf numFmtId="0" fontId="42" fillId="0" borderId="0" xfId="1226">
      <alignment horizontal="center" vertical="center" wrapText="1"/>
    </xf>
    <xf numFmtId="0" fontId="13" fillId="6" borderId="0" xfId="1228">
      <alignment horizontal="left" vertical="center" wrapText="1"/>
      <protection locked="0"/>
    </xf>
    <xf numFmtId="0" fontId="3" fillId="6" borderId="4" xfId="1264">
      <alignment horizontal="left" vertical="center" wrapText="1"/>
      <protection locked="0"/>
    </xf>
    <xf numFmtId="0" fontId="3" fillId="6" borderId="1" xfId="1265">
      <alignment horizontal="left" vertical="center" wrapText="1"/>
      <protection locked="0"/>
    </xf>
    <xf numFmtId="0" fontId="3" fillId="6" borderId="3" xfId="1266">
      <alignment horizontal="left" vertical="center" wrapText="1"/>
      <protection locked="0"/>
    </xf>
    <xf numFmtId="49" fontId="3" fillId="6" borderId="19" xfId="1269">
      <alignment horizontal="left" vertical="center" wrapText="1"/>
    </xf>
    <xf numFmtId="49" fontId="3" fillId="6" borderId="5" xfId="1270">
      <alignment horizontal="left" vertical="center" wrapText="1"/>
    </xf>
    <xf numFmtId="49" fontId="3" fillId="6" borderId="37" xfId="1271">
      <alignment horizontal="left" vertical="center" wrapText="1"/>
    </xf>
    <xf numFmtId="0" fontId="1" fillId="0" borderId="49" xfId="1276">
      <alignment horizontal="left" vertical="center" wrapText="1"/>
    </xf>
    <xf numFmtId="4" fontId="3" fillId="8" borderId="49" xfId="1282">
      <alignment horizontal="right" vertical="center" wrapText="1"/>
    </xf>
    <xf numFmtId="0" fontId="1" fillId="0" borderId="49" xfId="1278">
      <alignment horizontal="center" vertical="center" wrapText="1"/>
    </xf>
    <xf numFmtId="0" fontId="1" fillId="14" borderId="0" xfId="1279">
      <alignment horizontal="center" vertical="center" wrapText="1"/>
    </xf>
    <xf numFmtId="4" fontId="13" fillId="8" borderId="49" xfId="1281">
      <alignment horizontal="right" vertical="center" wrapText="1"/>
    </xf>
    <xf numFmtId="4" fontId="3" fillId="6" borderId="126" xfId="1283">
      <alignment horizontal="right" vertical="center" wrapText="1"/>
      <protection locked="0"/>
    </xf>
    <xf numFmtId="4" fontId="3" fillId="6" borderId="127" xfId="1284">
      <alignment horizontal="right" vertical="center" wrapText="1"/>
      <protection locked="0"/>
    </xf>
    <xf numFmtId="0" fontId="2" fillId="4" borderId="16" xfId="1356">
      <alignment horizontal="center" vertical="center" wrapText="1"/>
    </xf>
    <xf numFmtId="0" fontId="2" fillId="0" borderId="37" xfId="561">
      <alignment horizontal="center" vertical="center" wrapText="1"/>
    </xf>
    <xf numFmtId="49" fontId="3" fillId="10" borderId="22" xfId="1557">
      <alignment horizontal="center" vertical="center" wrapText="1"/>
    </xf>
    <xf numFmtId="49" fontId="3" fillId="10" borderId="47" xfId="1561">
      <alignment horizontal="center" vertical="center" wrapText="1"/>
    </xf>
    <xf numFmtId="49" fontId="3" fillId="10" borderId="21" xfId="1564">
      <alignment horizontal="center" vertical="center" wrapText="1"/>
    </xf>
    <xf numFmtId="0" fontId="2" fillId="10" borderId="5" xfId="1581">
      <alignment horizontal="left" vertical="center" wrapText="1"/>
    </xf>
    <xf numFmtId="49" fontId="3" fillId="0" borderId="4" xfId="1713" quotePrefix="1">
      <alignment horizontal="center" vertical="center" wrapText="1"/>
    </xf>
    <xf numFmtId="4" fontId="3" fillId="8" borderId="145" xfId="1716">
      <alignment horizontal="right" vertical="center" wrapText="1"/>
    </xf>
    <xf numFmtId="4" fontId="3" fillId="8" borderId="149" xfId="1718">
      <alignment horizontal="right" vertical="center" wrapText="1"/>
    </xf>
    <xf numFmtId="0" fontId="3" fillId="10" borderId="22" xfId="1700">
      <alignment horizontal="center" vertical="center" wrapText="1"/>
    </xf>
    <xf numFmtId="0" fontId="3" fillId="10" borderId="21" xfId="1708">
      <alignment horizontal="center" vertical="center" wrapText="1"/>
    </xf>
    <xf numFmtId="0" fontId="2" fillId="0" borderId="4" xfId="759">
      <alignment horizontal="center" vertical="center" wrapText="1"/>
    </xf>
    <xf numFmtId="0" fontId="3" fillId="10" borderId="47" xfId="1704">
      <alignment horizontal="center" vertical="center" wrapText="1"/>
    </xf>
    <xf numFmtId="0" fontId="3" fillId="10" borderId="16" xfId="80">
      <alignment horizontal="center" vertical="center" wrapText="1"/>
    </xf>
    <xf numFmtId="0" fontId="3" fillId="10" borderId="22" xfId="2387" quotePrefix="1">
      <alignment horizontal="center" vertical="center" wrapText="1"/>
    </xf>
    <xf numFmtId="0" fontId="3" fillId="10" borderId="47" xfId="2388" quotePrefix="1">
      <alignment horizontal="center" vertical="center" wrapText="1"/>
    </xf>
    <xf numFmtId="0" fontId="3" fillId="10" borderId="21" xfId="2389" quotePrefix="1">
      <alignment horizontal="center" vertical="center" wrapText="1"/>
    </xf>
    <xf numFmtId="49" fontId="2" fillId="0" borderId="158" xfId="1957">
      <alignment horizontal="center" vertical="center" wrapText="1"/>
    </xf>
    <xf numFmtId="49" fontId="2" fillId="0" borderId="161" xfId="1960">
      <alignment horizontal="center" vertical="center" wrapText="1"/>
    </xf>
    <xf numFmtId="0" fontId="2" fillId="0" borderId="36" xfId="1953">
      <alignment horizontal="center" vertical="center" wrapText="1"/>
    </xf>
    <xf numFmtId="0" fontId="2" fillId="0" borderId="28" xfId="779">
      <alignment horizontal="center" vertical="center" wrapText="1"/>
    </xf>
    <xf numFmtId="0" fontId="29" fillId="0" borderId="5" xfId="1940">
      <alignment horizontal="left" vertical="center" wrapText="1"/>
    </xf>
    <xf numFmtId="0" fontId="2" fillId="0" borderId="1" xfId="2040">
      <alignment horizontal="center" vertical="center" wrapText="1"/>
    </xf>
    <xf numFmtId="49" fontId="3" fillId="0" borderId="11" xfId="481">
      <alignment horizontal="center" vertical="center" wrapText="1"/>
    </xf>
    <xf numFmtId="49" fontId="3" fillId="0" borderId="36" xfId="2190">
      <alignment horizontal="center" vertical="center" wrapText="1"/>
    </xf>
    <xf numFmtId="49" fontId="3" fillId="0" borderId="54" xfId="2191">
      <alignment horizontal="center" vertical="center" wrapText="1"/>
    </xf>
    <xf numFmtId="49" fontId="3" fillId="0" borderId="28" xfId="777">
      <alignment horizontal="center" vertical="center" wrapText="1"/>
    </xf>
    <xf numFmtId="49" fontId="7" fillId="3" borderId="22" xfId="2419" quotePrefix="1">
      <alignment horizontal="center" vertical="center" textRotation="90" wrapText="1"/>
      <protection locked="0"/>
    </xf>
    <xf numFmtId="49" fontId="7" fillId="3" borderId="47" xfId="2422" quotePrefix="1">
      <alignment horizontal="center" vertical="center" textRotation="90" wrapText="1"/>
      <protection locked="0"/>
    </xf>
    <xf numFmtId="49" fontId="7" fillId="3" borderId="21" xfId="2424" quotePrefix="1">
      <alignment horizontal="center" vertical="center" textRotation="90" wrapText="1"/>
      <protection locked="0"/>
    </xf>
    <xf numFmtId="49" fontId="2" fillId="0" borderId="22" xfId="2120">
      <alignment horizontal="center" vertical="center" wrapText="1"/>
    </xf>
    <xf numFmtId="49" fontId="2" fillId="0" borderId="47" xfId="2127">
      <alignment horizontal="center" vertical="center" wrapText="1"/>
    </xf>
    <xf numFmtId="49" fontId="2" fillId="0" borderId="21" xfId="2121">
      <alignment horizontal="center" vertical="center" wrapText="1"/>
    </xf>
    <xf numFmtId="49" fontId="3" fillId="0" borderId="205" xfId="2509">
      <alignment horizontal="center" vertical="center" wrapText="1"/>
    </xf>
    <xf numFmtId="49" fontId="3" fillId="0" borderId="143" xfId="2512">
      <alignment horizontal="center" vertical="center" wrapText="1"/>
    </xf>
    <xf numFmtId="49" fontId="3" fillId="0" borderId="206" xfId="2513">
      <alignment horizontal="center" vertical="center" wrapText="1"/>
    </xf>
    <xf numFmtId="49" fontId="3" fillId="0" borderId="9" xfId="479">
      <alignment horizontal="center" vertical="center" wrapText="1"/>
    </xf>
    <xf numFmtId="49" fontId="1" fillId="3" borderId="16" xfId="2397">
      <alignment horizontal="center" vertical="center" wrapText="1"/>
      <protection locked="0"/>
    </xf>
    <xf numFmtId="49" fontId="1" fillId="3" borderId="22" xfId="2398">
      <alignment horizontal="center" vertical="center" wrapText="1"/>
      <protection locked="0"/>
    </xf>
    <xf numFmtId="49" fontId="1" fillId="3" borderId="47" xfId="2399">
      <alignment horizontal="center" vertical="center" wrapText="1"/>
      <protection locked="0"/>
    </xf>
    <xf numFmtId="49" fontId="1" fillId="3" borderId="21" xfId="2402">
      <alignment horizontal="center" vertical="center" wrapText="1"/>
      <protection locked="0"/>
    </xf>
    <xf numFmtId="49" fontId="15" fillId="11" borderId="5" xfId="1799">
      <alignment horizontal="left" vertical="center" wrapText="1"/>
    </xf>
    <xf numFmtId="16" fontId="3" fillId="0" borderId="22" xfId="2409" quotePrefix="1">
      <alignment horizontal="center" vertical="center" wrapText="1"/>
    </xf>
    <xf numFmtId="49" fontId="3" fillId="3" borderId="22" xfId="2168">
      <alignment horizontal="center" vertical="center" wrapText="1"/>
      <protection locked="0"/>
    </xf>
    <xf numFmtId="49" fontId="3" fillId="3" borderId="47" xfId="2169">
      <alignment horizontal="center" vertical="center" wrapText="1"/>
      <protection locked="0"/>
    </xf>
    <xf numFmtId="49" fontId="3" fillId="3" borderId="21" xfId="2172">
      <alignment horizontal="center" vertical="center" wrapText="1"/>
      <protection locked="0"/>
    </xf>
    <xf numFmtId="49" fontId="3" fillId="3" borderId="38" xfId="2171">
      <alignment horizontal="center" vertical="center" wrapText="1"/>
      <protection locked="0"/>
    </xf>
    <xf numFmtId="49" fontId="3" fillId="3" borderId="20" xfId="2173">
      <alignment horizontal="center" vertical="center" wrapText="1"/>
      <protection locked="0"/>
    </xf>
    <xf numFmtId="0" fontId="69" fillId="0" borderId="10" xfId="2448">
      <alignment horizontal="center" vertical="center" wrapText="1"/>
    </xf>
    <xf numFmtId="49" fontId="15" fillId="3" borderId="36" xfId="2449">
      <alignment horizontal="left" vertical="center" wrapText="1"/>
      <protection locked="0"/>
    </xf>
    <xf numFmtId="49" fontId="15" fillId="3" borderId="28" xfId="2451">
      <alignment horizontal="left" vertical="center" wrapText="1"/>
      <protection locked="0"/>
    </xf>
    <xf numFmtId="49" fontId="1" fillId="0" borderId="0" xfId="2437">
      <alignment horizontal="center" wrapText="1"/>
    </xf>
    <xf numFmtId="49" fontId="29" fillId="0" borderId="22" xfId="2136">
      <alignment horizontal="center" vertical="center" wrapText="1"/>
    </xf>
    <xf numFmtId="49" fontId="29" fillId="0" borderId="47" xfId="2137">
      <alignment horizontal="center" vertical="center" wrapText="1"/>
    </xf>
    <xf numFmtId="49" fontId="29" fillId="0" borderId="21" xfId="2132">
      <alignment horizontal="center" vertical="center" wrapText="1"/>
    </xf>
    <xf numFmtId="4" fontId="3" fillId="8" borderId="53" xfId="2450">
      <alignment horizontal="right" vertical="center" wrapText="1"/>
    </xf>
    <xf numFmtId="4" fontId="3" fillId="8" borderId="56" xfId="2452">
      <alignment horizontal="right" vertical="center" wrapText="1"/>
    </xf>
    <xf numFmtId="49" fontId="14" fillId="0" borderId="10" xfId="2189">
      <alignment horizontal="center" vertical="center" wrapText="1"/>
    </xf>
    <xf numFmtId="49" fontId="13" fillId="0" borderId="0" xfId="2186">
      <alignment horizontal="center" wrapText="1"/>
    </xf>
    <xf numFmtId="49" fontId="13" fillId="0" borderId="4" xfId="925">
      <alignment horizontal="center" vertical="center" wrapText="1"/>
    </xf>
    <xf numFmtId="49" fontId="13" fillId="0" borderId="36" xfId="908">
      <alignment horizontal="center" vertical="center" wrapText="1"/>
    </xf>
    <xf numFmtId="49" fontId="13" fillId="0" borderId="28" xfId="2187">
      <alignment horizontal="center" vertical="center" wrapText="1"/>
    </xf>
    <xf numFmtId="49" fontId="13" fillId="0" borderId="36" xfId="2197">
      <alignment horizontal="left" vertical="center" wrapText="1"/>
    </xf>
    <xf numFmtId="49" fontId="13" fillId="0" borderId="28" xfId="2198">
      <alignment horizontal="left" vertical="center" wrapText="1"/>
    </xf>
    <xf numFmtId="0" fontId="29" fillId="14" borderId="19" xfId="2232">
      <alignment horizontal="left" vertical="center" wrapText="1"/>
    </xf>
    <xf numFmtId="0" fontId="29" fillId="14" borderId="37" xfId="2233">
      <alignment horizontal="left" vertical="center" wrapText="1"/>
    </xf>
    <xf numFmtId="0" fontId="29" fillId="14" borderId="5" xfId="2236">
      <alignment horizontal="left" vertical="center" wrapText="1"/>
    </xf>
    <xf numFmtId="0" fontId="29" fillId="0" borderId="16" xfId="764">
      <alignment horizontal="center" vertical="center" wrapText="1"/>
    </xf>
    <xf numFmtId="49" fontId="2" fillId="0" borderId="36" xfId="2244">
      <alignment horizontal="center" vertical="center" wrapText="1"/>
    </xf>
    <xf numFmtId="49" fontId="2" fillId="0" borderId="28" xfId="2245">
      <alignment horizontal="center" vertical="center" wrapText="1"/>
    </xf>
    <xf numFmtId="0" fontId="29" fillId="0" borderId="22" xfId="2242">
      <alignment horizontal="center" vertical="center" wrapText="1"/>
    </xf>
    <xf numFmtId="0" fontId="29" fillId="0" borderId="47" xfId="2243">
      <alignment horizontal="center" vertical="center" wrapText="1"/>
    </xf>
    <xf numFmtId="0" fontId="29" fillId="0" borderId="21" xfId="2134">
      <alignment horizontal="center" vertical="center" wrapText="1"/>
    </xf>
    <xf numFmtId="49" fontId="2" fillId="0" borderId="16" xfId="1383">
      <alignment horizontal="center" vertical="center" wrapText="1"/>
    </xf>
    <xf numFmtId="0" fontId="2" fillId="8" borderId="22" xfId="2257">
      <alignment horizontal="center" vertical="center" wrapText="1"/>
    </xf>
    <xf numFmtId="0" fontId="2" fillId="8" borderId="47" xfId="2271">
      <alignment horizontal="center" vertical="center" wrapText="1"/>
    </xf>
    <xf numFmtId="0" fontId="2" fillId="8" borderId="21" xfId="2281">
      <alignment horizontal="center" vertical="center" wrapText="1"/>
    </xf>
    <xf numFmtId="0" fontId="29" fillId="0" borderId="2" xfId="2252">
      <alignment horizontal="left" vertical="center" wrapText="1"/>
    </xf>
    <xf numFmtId="0" fontId="2" fillId="0" borderId="2" xfId="2253">
      <alignment horizontal="center" vertical="center" wrapText="1"/>
    </xf>
    <xf numFmtId="0" fontId="2" fillId="9" borderId="4" xfId="2254">
      <alignment horizontal="center" vertical="center" wrapText="1"/>
    </xf>
    <xf numFmtId="49" fontId="2" fillId="0" borderId="4" xfId="757">
      <alignment horizontal="center" vertical="center" wrapText="1"/>
    </xf>
    <xf numFmtId="0" fontId="2" fillId="0" borderId="3" xfId="2255">
      <alignment horizontal="center" vertical="center" wrapText="1"/>
    </xf>
    <xf numFmtId="0" fontId="2" fillId="0" borderId="4" xfId="2256">
      <alignment vertical="top" wrapText="1"/>
    </xf>
  </cellXfs>
  <cellStyles count="2542">
    <cellStyle name="s1" xfId="2533" xr:uid="{00000000-0005-0000-0000-0000E5090000}"/>
    <cellStyle name="s100" xfId="76" xr:uid="{00000000-0005-0000-0000-00004C000000}"/>
    <cellStyle name="s1000" xfId="976" xr:uid="{00000000-0005-0000-0000-0000D0030000}"/>
    <cellStyle name="s1001" xfId="977" xr:uid="{00000000-0005-0000-0000-0000D1030000}"/>
    <cellStyle name="s1002" xfId="978" xr:uid="{00000000-0005-0000-0000-0000D2030000}"/>
    <cellStyle name="s1003" xfId="979" xr:uid="{00000000-0005-0000-0000-0000D3030000}"/>
    <cellStyle name="s1004" xfId="980" xr:uid="{00000000-0005-0000-0000-0000D4030000}"/>
    <cellStyle name="s1005" xfId="981" xr:uid="{00000000-0005-0000-0000-0000D5030000}"/>
    <cellStyle name="s1006" xfId="982" xr:uid="{00000000-0005-0000-0000-0000D6030000}"/>
    <cellStyle name="s1007" xfId="983" xr:uid="{00000000-0005-0000-0000-0000D7030000}"/>
    <cellStyle name="s1008" xfId="984" xr:uid="{00000000-0005-0000-0000-0000D8030000}"/>
    <cellStyle name="s1009" xfId="985" xr:uid="{00000000-0005-0000-0000-0000D9030000}"/>
    <cellStyle name="s101" xfId="77" xr:uid="{00000000-0005-0000-0000-00004D000000}"/>
    <cellStyle name="s1010" xfId="986" xr:uid="{00000000-0005-0000-0000-0000DA030000}"/>
    <cellStyle name="s1011" xfId="987" xr:uid="{00000000-0005-0000-0000-0000DB030000}"/>
    <cellStyle name="s1012" xfId="988" xr:uid="{00000000-0005-0000-0000-0000DC030000}"/>
    <cellStyle name="s1013" xfId="989" xr:uid="{00000000-0005-0000-0000-0000DD030000}"/>
    <cellStyle name="s1014" xfId="990" xr:uid="{00000000-0005-0000-0000-0000DE030000}"/>
    <cellStyle name="s1015" xfId="991" xr:uid="{00000000-0005-0000-0000-0000DF030000}"/>
    <cellStyle name="s1016" xfId="992" xr:uid="{00000000-0005-0000-0000-0000E0030000}"/>
    <cellStyle name="s1017" xfId="993" xr:uid="{00000000-0005-0000-0000-0000E1030000}"/>
    <cellStyle name="s1018" xfId="994" xr:uid="{00000000-0005-0000-0000-0000E2030000}"/>
    <cellStyle name="s1019" xfId="995" xr:uid="{00000000-0005-0000-0000-0000E3030000}"/>
    <cellStyle name="s102" xfId="78" xr:uid="{00000000-0005-0000-0000-00004E000000}"/>
    <cellStyle name="s1020" xfId="996" xr:uid="{00000000-0005-0000-0000-0000E4030000}"/>
    <cellStyle name="s1021" xfId="997" xr:uid="{00000000-0005-0000-0000-0000E5030000}"/>
    <cellStyle name="s1022" xfId="998" xr:uid="{00000000-0005-0000-0000-0000E6030000}"/>
    <cellStyle name="s1023" xfId="999" xr:uid="{00000000-0005-0000-0000-0000E7030000}"/>
    <cellStyle name="s1024" xfId="1000" xr:uid="{00000000-0005-0000-0000-0000E8030000}"/>
    <cellStyle name="s1025" xfId="1001" xr:uid="{00000000-0005-0000-0000-0000E9030000}"/>
    <cellStyle name="s1026" xfId="1002" xr:uid="{00000000-0005-0000-0000-0000EA030000}"/>
    <cellStyle name="s1027" xfId="1003" xr:uid="{00000000-0005-0000-0000-0000EB030000}"/>
    <cellStyle name="s1028" xfId="1004" xr:uid="{00000000-0005-0000-0000-0000EC030000}"/>
    <cellStyle name="s1029" xfId="1005" xr:uid="{00000000-0005-0000-0000-0000ED030000}"/>
    <cellStyle name="s103" xfId="79" xr:uid="{00000000-0005-0000-0000-00004F000000}"/>
    <cellStyle name="s1030" xfId="1006" xr:uid="{00000000-0005-0000-0000-0000EE030000}"/>
    <cellStyle name="s1031" xfId="1007" xr:uid="{00000000-0005-0000-0000-0000EF030000}"/>
    <cellStyle name="s1032" xfId="1008" xr:uid="{00000000-0005-0000-0000-0000F0030000}"/>
    <cellStyle name="s1033" xfId="1009" xr:uid="{00000000-0005-0000-0000-0000F1030000}"/>
    <cellStyle name="s1034" xfId="1010" xr:uid="{00000000-0005-0000-0000-0000F2030000}"/>
    <cellStyle name="s1035" xfId="1011" xr:uid="{00000000-0005-0000-0000-0000F3030000}"/>
    <cellStyle name="s1036" xfId="1012" xr:uid="{00000000-0005-0000-0000-0000F4030000}"/>
    <cellStyle name="s1037" xfId="1013" xr:uid="{00000000-0005-0000-0000-0000F5030000}"/>
    <cellStyle name="s1038" xfId="1014" xr:uid="{00000000-0005-0000-0000-0000F6030000}"/>
    <cellStyle name="s1039" xfId="1015" xr:uid="{00000000-0005-0000-0000-0000F7030000}"/>
    <cellStyle name="s104" xfId="80" xr:uid="{00000000-0005-0000-0000-000050000000}"/>
    <cellStyle name="s1040" xfId="1016" xr:uid="{00000000-0005-0000-0000-0000F8030000}"/>
    <cellStyle name="s1041" xfId="1017" xr:uid="{00000000-0005-0000-0000-0000F9030000}"/>
    <cellStyle name="s1042" xfId="1018" xr:uid="{00000000-0005-0000-0000-0000FA030000}"/>
    <cellStyle name="s1043" xfId="1019" xr:uid="{00000000-0005-0000-0000-0000FB030000}"/>
    <cellStyle name="s1044" xfId="1020" xr:uid="{00000000-0005-0000-0000-0000FC030000}"/>
    <cellStyle name="s1045" xfId="1021" xr:uid="{00000000-0005-0000-0000-0000FD030000}"/>
    <cellStyle name="s1046" xfId="1022" xr:uid="{00000000-0005-0000-0000-0000FE030000}"/>
    <cellStyle name="s1047" xfId="1023" xr:uid="{00000000-0005-0000-0000-0000FF030000}"/>
    <cellStyle name="s1048" xfId="1024" xr:uid="{00000000-0005-0000-0000-000000040000}"/>
    <cellStyle name="s1049" xfId="1025" xr:uid="{00000000-0005-0000-0000-000001040000}"/>
    <cellStyle name="s105" xfId="81" xr:uid="{00000000-0005-0000-0000-000051000000}"/>
    <cellStyle name="s1050" xfId="1026" xr:uid="{00000000-0005-0000-0000-000002040000}"/>
    <cellStyle name="s1051" xfId="1027" xr:uid="{00000000-0005-0000-0000-000003040000}"/>
    <cellStyle name="s1052" xfId="1028" xr:uid="{00000000-0005-0000-0000-000004040000}"/>
    <cellStyle name="s1053" xfId="1029" xr:uid="{00000000-0005-0000-0000-000005040000}"/>
    <cellStyle name="s1054" xfId="1030" xr:uid="{00000000-0005-0000-0000-000006040000}"/>
    <cellStyle name="s1055" xfId="1031" xr:uid="{00000000-0005-0000-0000-000007040000}"/>
    <cellStyle name="s1056" xfId="1032" xr:uid="{00000000-0005-0000-0000-000008040000}"/>
    <cellStyle name="s1057" xfId="1033" xr:uid="{00000000-0005-0000-0000-000009040000}"/>
    <cellStyle name="s1058" xfId="1034" xr:uid="{00000000-0005-0000-0000-00000A040000}"/>
    <cellStyle name="s1059" xfId="1035" xr:uid="{00000000-0005-0000-0000-00000B040000}"/>
    <cellStyle name="s106" xfId="82" xr:uid="{00000000-0005-0000-0000-000052000000}"/>
    <cellStyle name="s1060" xfId="1036" xr:uid="{00000000-0005-0000-0000-00000C040000}"/>
    <cellStyle name="s1061" xfId="1037" xr:uid="{00000000-0005-0000-0000-00000D040000}"/>
    <cellStyle name="s1062" xfId="1038" xr:uid="{00000000-0005-0000-0000-00000E040000}"/>
    <cellStyle name="s1063" xfId="1039" xr:uid="{00000000-0005-0000-0000-00000F040000}"/>
    <cellStyle name="s1064" xfId="1040" xr:uid="{00000000-0005-0000-0000-000010040000}"/>
    <cellStyle name="s1065" xfId="1041" xr:uid="{00000000-0005-0000-0000-000011040000}"/>
    <cellStyle name="s1066" xfId="1042" xr:uid="{00000000-0005-0000-0000-000012040000}"/>
    <cellStyle name="s1067" xfId="1043" xr:uid="{00000000-0005-0000-0000-000013040000}"/>
    <cellStyle name="s1068" xfId="1044" xr:uid="{00000000-0005-0000-0000-000014040000}"/>
    <cellStyle name="s1069" xfId="1045" xr:uid="{00000000-0005-0000-0000-000015040000}"/>
    <cellStyle name="s107" xfId="83" xr:uid="{00000000-0005-0000-0000-000053000000}"/>
    <cellStyle name="s1070" xfId="1046" xr:uid="{00000000-0005-0000-0000-000016040000}"/>
    <cellStyle name="s1071" xfId="1047" xr:uid="{00000000-0005-0000-0000-000017040000}"/>
    <cellStyle name="s1072" xfId="1048" xr:uid="{00000000-0005-0000-0000-000018040000}"/>
    <cellStyle name="s1073" xfId="1049" xr:uid="{00000000-0005-0000-0000-000019040000}"/>
    <cellStyle name="s1074" xfId="1050" xr:uid="{00000000-0005-0000-0000-00001A040000}"/>
    <cellStyle name="s1075" xfId="1051" xr:uid="{00000000-0005-0000-0000-00001B040000}"/>
    <cellStyle name="s1076" xfId="1052" xr:uid="{00000000-0005-0000-0000-00001C040000}"/>
    <cellStyle name="s1077" xfId="1053" xr:uid="{00000000-0005-0000-0000-00001D040000}"/>
    <cellStyle name="s1078" xfId="1054" xr:uid="{00000000-0005-0000-0000-00001E040000}"/>
    <cellStyle name="s1079" xfId="1055" xr:uid="{00000000-0005-0000-0000-00001F040000}"/>
    <cellStyle name="s108" xfId="84" xr:uid="{00000000-0005-0000-0000-000054000000}"/>
    <cellStyle name="s1080" xfId="1056" xr:uid="{00000000-0005-0000-0000-000020040000}"/>
    <cellStyle name="s1081" xfId="1057" xr:uid="{00000000-0005-0000-0000-000021040000}"/>
    <cellStyle name="s1082" xfId="1058" xr:uid="{00000000-0005-0000-0000-000022040000}"/>
    <cellStyle name="s1083" xfId="1059" xr:uid="{00000000-0005-0000-0000-000023040000}"/>
    <cellStyle name="s1084" xfId="1060" xr:uid="{00000000-0005-0000-0000-000024040000}"/>
    <cellStyle name="s1085" xfId="1061" xr:uid="{00000000-0005-0000-0000-000025040000}"/>
    <cellStyle name="s1086" xfId="1062" xr:uid="{00000000-0005-0000-0000-000026040000}"/>
    <cellStyle name="s1087" xfId="1063" xr:uid="{00000000-0005-0000-0000-000027040000}"/>
    <cellStyle name="s1088" xfId="1064" xr:uid="{00000000-0005-0000-0000-000028040000}"/>
    <cellStyle name="s1089" xfId="1065" xr:uid="{00000000-0005-0000-0000-000029040000}"/>
    <cellStyle name="s109" xfId="85" xr:uid="{00000000-0005-0000-0000-000055000000}"/>
    <cellStyle name="s1090" xfId="1066" xr:uid="{00000000-0005-0000-0000-00002A040000}"/>
    <cellStyle name="s1091" xfId="1067" xr:uid="{00000000-0005-0000-0000-00002B040000}"/>
    <cellStyle name="s1092" xfId="1068" xr:uid="{00000000-0005-0000-0000-00002C040000}"/>
    <cellStyle name="s1093" xfId="1069" xr:uid="{00000000-0005-0000-0000-00002D040000}"/>
    <cellStyle name="s1094" xfId="1070" xr:uid="{00000000-0005-0000-0000-00002E040000}"/>
    <cellStyle name="s1095" xfId="1071" xr:uid="{00000000-0005-0000-0000-00002F040000}"/>
    <cellStyle name="s1096" xfId="1072" xr:uid="{00000000-0005-0000-0000-000030040000}"/>
    <cellStyle name="s1097" xfId="1073" xr:uid="{00000000-0005-0000-0000-000031040000}"/>
    <cellStyle name="s1098" xfId="1074" xr:uid="{00000000-0005-0000-0000-000032040000}"/>
    <cellStyle name="s1099" xfId="1075" xr:uid="{00000000-0005-0000-0000-000033040000}"/>
    <cellStyle name="s11" xfId="1" xr:uid="{00000000-0005-0000-0000-000001000000}"/>
    <cellStyle name="s110" xfId="86" xr:uid="{00000000-0005-0000-0000-000056000000}"/>
    <cellStyle name="s1100" xfId="1076" xr:uid="{00000000-0005-0000-0000-000034040000}"/>
    <cellStyle name="s1101" xfId="1077" xr:uid="{00000000-0005-0000-0000-000035040000}"/>
    <cellStyle name="s1102" xfId="1078" xr:uid="{00000000-0005-0000-0000-000036040000}"/>
    <cellStyle name="s1103" xfId="1079" xr:uid="{00000000-0005-0000-0000-000037040000}"/>
    <cellStyle name="s1104" xfId="1080" xr:uid="{00000000-0005-0000-0000-000038040000}"/>
    <cellStyle name="s1105" xfId="1081" xr:uid="{00000000-0005-0000-0000-000039040000}"/>
    <cellStyle name="s1106" xfId="1082" xr:uid="{00000000-0005-0000-0000-00003A040000}"/>
    <cellStyle name="s1107" xfId="1083" xr:uid="{00000000-0005-0000-0000-00003B040000}"/>
    <cellStyle name="s1108" xfId="1084" xr:uid="{00000000-0005-0000-0000-00003C040000}"/>
    <cellStyle name="s1109" xfId="1085" xr:uid="{00000000-0005-0000-0000-00003D040000}"/>
    <cellStyle name="s111" xfId="87" xr:uid="{00000000-0005-0000-0000-000057000000}"/>
    <cellStyle name="s1110" xfId="1086" xr:uid="{00000000-0005-0000-0000-00003E040000}"/>
    <cellStyle name="s1111" xfId="1087" xr:uid="{00000000-0005-0000-0000-00003F040000}"/>
    <cellStyle name="s1112" xfId="1088" xr:uid="{00000000-0005-0000-0000-000040040000}"/>
    <cellStyle name="s1113" xfId="1089" xr:uid="{00000000-0005-0000-0000-000041040000}"/>
    <cellStyle name="s1114" xfId="1090" xr:uid="{00000000-0005-0000-0000-000042040000}"/>
    <cellStyle name="s1115" xfId="1091" xr:uid="{00000000-0005-0000-0000-000043040000}"/>
    <cellStyle name="s1116" xfId="1092" xr:uid="{00000000-0005-0000-0000-000044040000}"/>
    <cellStyle name="s1117" xfId="1093" xr:uid="{00000000-0005-0000-0000-000045040000}"/>
    <cellStyle name="s1118" xfId="1094" xr:uid="{00000000-0005-0000-0000-000046040000}"/>
    <cellStyle name="s1119" xfId="1095" xr:uid="{00000000-0005-0000-0000-000047040000}"/>
    <cellStyle name="s112" xfId="88" xr:uid="{00000000-0005-0000-0000-000058000000}"/>
    <cellStyle name="s1120" xfId="1096" xr:uid="{00000000-0005-0000-0000-000048040000}"/>
    <cellStyle name="s1121" xfId="1097" xr:uid="{00000000-0005-0000-0000-000049040000}"/>
    <cellStyle name="s1122" xfId="1098" xr:uid="{00000000-0005-0000-0000-00004A040000}"/>
    <cellStyle name="s1123" xfId="1099" xr:uid="{00000000-0005-0000-0000-00004B040000}"/>
    <cellStyle name="s1124" xfId="1100" xr:uid="{00000000-0005-0000-0000-00004C040000}"/>
    <cellStyle name="s1125" xfId="1101" xr:uid="{00000000-0005-0000-0000-00004D040000}"/>
    <cellStyle name="s1126" xfId="1102" xr:uid="{00000000-0005-0000-0000-00004E040000}"/>
    <cellStyle name="s1127" xfId="1103" xr:uid="{00000000-0005-0000-0000-00004F040000}"/>
    <cellStyle name="s1128" xfId="1104" xr:uid="{00000000-0005-0000-0000-000050040000}"/>
    <cellStyle name="s1129" xfId="1105" xr:uid="{00000000-0005-0000-0000-000051040000}"/>
    <cellStyle name="s113" xfId="89" xr:uid="{00000000-0005-0000-0000-000059000000}"/>
    <cellStyle name="s1130" xfId="1106" xr:uid="{00000000-0005-0000-0000-000052040000}"/>
    <cellStyle name="s1131" xfId="1107" xr:uid="{00000000-0005-0000-0000-000053040000}"/>
    <cellStyle name="s1132" xfId="1108" xr:uid="{00000000-0005-0000-0000-000054040000}"/>
    <cellStyle name="s1133" xfId="1109" xr:uid="{00000000-0005-0000-0000-000055040000}"/>
    <cellStyle name="s1134" xfId="1110" xr:uid="{00000000-0005-0000-0000-000056040000}"/>
    <cellStyle name="s1135" xfId="1111" xr:uid="{00000000-0005-0000-0000-000057040000}"/>
    <cellStyle name="s1136" xfId="1112" xr:uid="{00000000-0005-0000-0000-000058040000}"/>
    <cellStyle name="s1137" xfId="1113" xr:uid="{00000000-0005-0000-0000-000059040000}"/>
    <cellStyle name="s1138" xfId="1114" xr:uid="{00000000-0005-0000-0000-00005A040000}"/>
    <cellStyle name="s1139" xfId="1115" xr:uid="{00000000-0005-0000-0000-00005B040000}"/>
    <cellStyle name="s114" xfId="90" xr:uid="{00000000-0005-0000-0000-00005A000000}"/>
    <cellStyle name="s1140" xfId="1116" xr:uid="{00000000-0005-0000-0000-00005C040000}"/>
    <cellStyle name="s1141" xfId="1117" xr:uid="{00000000-0005-0000-0000-00005D040000}"/>
    <cellStyle name="s1142" xfId="1118" xr:uid="{00000000-0005-0000-0000-00005E040000}"/>
    <cellStyle name="s1143" xfId="1119" xr:uid="{00000000-0005-0000-0000-00005F040000}"/>
    <cellStyle name="s1144" xfId="1120" xr:uid="{00000000-0005-0000-0000-000060040000}"/>
    <cellStyle name="s1145" xfId="1121" xr:uid="{00000000-0005-0000-0000-000061040000}"/>
    <cellStyle name="s1146" xfId="1122" xr:uid="{00000000-0005-0000-0000-000062040000}"/>
    <cellStyle name="s1147" xfId="1123" xr:uid="{00000000-0005-0000-0000-000063040000}"/>
    <cellStyle name="s1148" xfId="1124" xr:uid="{00000000-0005-0000-0000-000064040000}"/>
    <cellStyle name="s1149" xfId="1125" xr:uid="{00000000-0005-0000-0000-000065040000}"/>
    <cellStyle name="s115" xfId="91" xr:uid="{00000000-0005-0000-0000-00005B000000}"/>
    <cellStyle name="s1150" xfId="1126" xr:uid="{00000000-0005-0000-0000-000066040000}"/>
    <cellStyle name="s1151" xfId="1127" xr:uid="{00000000-0005-0000-0000-000067040000}"/>
    <cellStyle name="s1152" xfId="1128" xr:uid="{00000000-0005-0000-0000-000068040000}"/>
    <cellStyle name="s1153" xfId="1129" xr:uid="{00000000-0005-0000-0000-000069040000}"/>
    <cellStyle name="s1154" xfId="1130" xr:uid="{00000000-0005-0000-0000-00006A040000}"/>
    <cellStyle name="s1155" xfId="1131" xr:uid="{00000000-0005-0000-0000-00006B040000}"/>
    <cellStyle name="s1156" xfId="1132" xr:uid="{00000000-0005-0000-0000-00006C040000}"/>
    <cellStyle name="s1157" xfId="1133" xr:uid="{00000000-0005-0000-0000-00006D040000}"/>
    <cellStyle name="s1158" xfId="1134" xr:uid="{00000000-0005-0000-0000-00006E040000}"/>
    <cellStyle name="s1159" xfId="1135" xr:uid="{00000000-0005-0000-0000-00006F040000}"/>
    <cellStyle name="s116" xfId="92" xr:uid="{00000000-0005-0000-0000-00005C000000}"/>
    <cellStyle name="s1160" xfId="1136" xr:uid="{00000000-0005-0000-0000-000070040000}"/>
    <cellStyle name="s1161" xfId="1137" xr:uid="{00000000-0005-0000-0000-000071040000}"/>
    <cellStyle name="s1162" xfId="1138" xr:uid="{00000000-0005-0000-0000-000072040000}"/>
    <cellStyle name="s1163" xfId="1139" xr:uid="{00000000-0005-0000-0000-000073040000}"/>
    <cellStyle name="s1164" xfId="1140" xr:uid="{00000000-0005-0000-0000-000074040000}"/>
    <cellStyle name="s1165" xfId="1141" xr:uid="{00000000-0005-0000-0000-000075040000}"/>
    <cellStyle name="s1166" xfId="1142" xr:uid="{00000000-0005-0000-0000-000076040000}"/>
    <cellStyle name="s1167" xfId="1143" xr:uid="{00000000-0005-0000-0000-000077040000}"/>
    <cellStyle name="s1168" xfId="1144" xr:uid="{00000000-0005-0000-0000-000078040000}"/>
    <cellStyle name="s1169" xfId="1145" xr:uid="{00000000-0005-0000-0000-000079040000}"/>
    <cellStyle name="s117" xfId="93" xr:uid="{00000000-0005-0000-0000-00005D000000}"/>
    <cellStyle name="s1170" xfId="1146" xr:uid="{00000000-0005-0000-0000-00007A040000}"/>
    <cellStyle name="s1171" xfId="1147" xr:uid="{00000000-0005-0000-0000-00007B040000}"/>
    <cellStyle name="s1172" xfId="1148" xr:uid="{00000000-0005-0000-0000-00007C040000}"/>
    <cellStyle name="s1173" xfId="1149" xr:uid="{00000000-0005-0000-0000-00007D040000}"/>
    <cellStyle name="s1174" xfId="1150" xr:uid="{00000000-0005-0000-0000-00007E040000}"/>
    <cellStyle name="s1175" xfId="1151" xr:uid="{00000000-0005-0000-0000-00007F040000}"/>
    <cellStyle name="s1176" xfId="1152" xr:uid="{00000000-0005-0000-0000-000080040000}"/>
    <cellStyle name="s1177" xfId="1153" xr:uid="{00000000-0005-0000-0000-000081040000}"/>
    <cellStyle name="s1178" xfId="1154" xr:uid="{00000000-0005-0000-0000-000082040000}"/>
    <cellStyle name="s1179" xfId="1155" xr:uid="{00000000-0005-0000-0000-000083040000}"/>
    <cellStyle name="s118" xfId="94" xr:uid="{00000000-0005-0000-0000-00005E000000}"/>
    <cellStyle name="s1180" xfId="1156" xr:uid="{00000000-0005-0000-0000-000084040000}"/>
    <cellStyle name="s1181" xfId="1157" xr:uid="{00000000-0005-0000-0000-000085040000}"/>
    <cellStyle name="s1182" xfId="1158" xr:uid="{00000000-0005-0000-0000-000086040000}"/>
    <cellStyle name="s1183" xfId="1159" xr:uid="{00000000-0005-0000-0000-000087040000}"/>
    <cellStyle name="s1184" xfId="1160" xr:uid="{00000000-0005-0000-0000-000088040000}"/>
    <cellStyle name="s1185" xfId="1161" xr:uid="{00000000-0005-0000-0000-000089040000}"/>
    <cellStyle name="s1186" xfId="1162" xr:uid="{00000000-0005-0000-0000-00008A040000}"/>
    <cellStyle name="s1187" xfId="1163" xr:uid="{00000000-0005-0000-0000-00008B040000}"/>
    <cellStyle name="s1188" xfId="1164" xr:uid="{00000000-0005-0000-0000-00008C040000}"/>
    <cellStyle name="s1189" xfId="1165" xr:uid="{00000000-0005-0000-0000-00008D040000}"/>
    <cellStyle name="s119" xfId="95" xr:uid="{00000000-0005-0000-0000-00005F000000}"/>
    <cellStyle name="s1190" xfId="1166" xr:uid="{00000000-0005-0000-0000-00008E040000}"/>
    <cellStyle name="s1191" xfId="1167" xr:uid="{00000000-0005-0000-0000-00008F040000}"/>
    <cellStyle name="s1192" xfId="1168" xr:uid="{00000000-0005-0000-0000-000090040000}"/>
    <cellStyle name="s1193" xfId="1169" xr:uid="{00000000-0005-0000-0000-000091040000}"/>
    <cellStyle name="s1194" xfId="1170" xr:uid="{00000000-0005-0000-0000-000092040000}"/>
    <cellStyle name="s1195" xfId="1171" xr:uid="{00000000-0005-0000-0000-000093040000}"/>
    <cellStyle name="s1196" xfId="1172" xr:uid="{00000000-0005-0000-0000-000094040000}"/>
    <cellStyle name="s1197" xfId="1173" xr:uid="{00000000-0005-0000-0000-000095040000}"/>
    <cellStyle name="s1198" xfId="1174" xr:uid="{00000000-0005-0000-0000-000096040000}"/>
    <cellStyle name="s1199" xfId="1175" xr:uid="{00000000-0005-0000-0000-000097040000}"/>
    <cellStyle name="s12" xfId="2" xr:uid="{00000000-0005-0000-0000-000002000000}"/>
    <cellStyle name="s120" xfId="96" xr:uid="{00000000-0005-0000-0000-000060000000}"/>
    <cellStyle name="s1200" xfId="1176" xr:uid="{00000000-0005-0000-0000-000098040000}"/>
    <cellStyle name="s1201" xfId="1177" xr:uid="{00000000-0005-0000-0000-000099040000}"/>
    <cellStyle name="s1202" xfId="1178" xr:uid="{00000000-0005-0000-0000-00009A040000}"/>
    <cellStyle name="s1203" xfId="1179" xr:uid="{00000000-0005-0000-0000-00009B040000}"/>
    <cellStyle name="s1204" xfId="1180" xr:uid="{00000000-0005-0000-0000-00009C040000}"/>
    <cellStyle name="s1205" xfId="1181" xr:uid="{00000000-0005-0000-0000-00009D040000}"/>
    <cellStyle name="s1206" xfId="1182" xr:uid="{00000000-0005-0000-0000-00009E040000}"/>
    <cellStyle name="s1207" xfId="1183" xr:uid="{00000000-0005-0000-0000-00009F040000}"/>
    <cellStyle name="s1208" xfId="1184" xr:uid="{00000000-0005-0000-0000-0000A0040000}"/>
    <cellStyle name="s1209" xfId="1185" xr:uid="{00000000-0005-0000-0000-0000A1040000}"/>
    <cellStyle name="s121" xfId="97" xr:uid="{00000000-0005-0000-0000-000061000000}"/>
    <cellStyle name="s1210" xfId="1186" xr:uid="{00000000-0005-0000-0000-0000A2040000}"/>
    <cellStyle name="s1211" xfId="1187" xr:uid="{00000000-0005-0000-0000-0000A3040000}"/>
    <cellStyle name="s1212" xfId="1188" xr:uid="{00000000-0005-0000-0000-0000A4040000}"/>
    <cellStyle name="s1213" xfId="1189" xr:uid="{00000000-0005-0000-0000-0000A5040000}"/>
    <cellStyle name="s1214" xfId="1190" xr:uid="{00000000-0005-0000-0000-0000A6040000}"/>
    <cellStyle name="s1215" xfId="1191" xr:uid="{00000000-0005-0000-0000-0000A7040000}"/>
    <cellStyle name="s1216" xfId="1192" xr:uid="{00000000-0005-0000-0000-0000A8040000}"/>
    <cellStyle name="s1217" xfId="1193" xr:uid="{00000000-0005-0000-0000-0000A9040000}"/>
    <cellStyle name="s1218" xfId="1194" xr:uid="{00000000-0005-0000-0000-0000AA040000}"/>
    <cellStyle name="s1219" xfId="1195" xr:uid="{00000000-0005-0000-0000-0000AB040000}"/>
    <cellStyle name="s122" xfId="98" xr:uid="{00000000-0005-0000-0000-000062000000}"/>
    <cellStyle name="s1220" xfId="1196" xr:uid="{00000000-0005-0000-0000-0000AC040000}"/>
    <cellStyle name="s1221" xfId="1197" xr:uid="{00000000-0005-0000-0000-0000AD040000}"/>
    <cellStyle name="s1222" xfId="1198" xr:uid="{00000000-0005-0000-0000-0000AE040000}"/>
    <cellStyle name="s1223" xfId="1199" xr:uid="{00000000-0005-0000-0000-0000AF040000}"/>
    <cellStyle name="s1224" xfId="1200" xr:uid="{00000000-0005-0000-0000-0000B0040000}"/>
    <cellStyle name="s1225" xfId="1201" xr:uid="{00000000-0005-0000-0000-0000B1040000}"/>
    <cellStyle name="s1226" xfId="1202" xr:uid="{00000000-0005-0000-0000-0000B2040000}"/>
    <cellStyle name="s1227" xfId="1203" xr:uid="{00000000-0005-0000-0000-0000B3040000}"/>
    <cellStyle name="s1228" xfId="1204" xr:uid="{00000000-0005-0000-0000-0000B4040000}"/>
    <cellStyle name="s1229" xfId="1205" xr:uid="{00000000-0005-0000-0000-0000B5040000}"/>
    <cellStyle name="s123" xfId="99" xr:uid="{00000000-0005-0000-0000-000063000000}"/>
    <cellStyle name="s1230" xfId="1206" xr:uid="{00000000-0005-0000-0000-0000B6040000}"/>
    <cellStyle name="s1231" xfId="1207" xr:uid="{00000000-0005-0000-0000-0000B7040000}"/>
    <cellStyle name="s1232" xfId="1208" xr:uid="{00000000-0005-0000-0000-0000B8040000}"/>
    <cellStyle name="s1233" xfId="1209" xr:uid="{00000000-0005-0000-0000-0000B9040000}"/>
    <cellStyle name="s1234" xfId="1210" xr:uid="{00000000-0005-0000-0000-0000BA040000}"/>
    <cellStyle name="s1235" xfId="1211" xr:uid="{00000000-0005-0000-0000-0000BB040000}"/>
    <cellStyle name="s1236" xfId="1212" xr:uid="{00000000-0005-0000-0000-0000BC040000}"/>
    <cellStyle name="s1237" xfId="1213" xr:uid="{00000000-0005-0000-0000-0000BD040000}"/>
    <cellStyle name="s1238" xfId="1214" xr:uid="{00000000-0005-0000-0000-0000BE040000}"/>
    <cellStyle name="s1239" xfId="1215" xr:uid="{00000000-0005-0000-0000-0000BF040000}"/>
    <cellStyle name="s124" xfId="100" xr:uid="{00000000-0005-0000-0000-000064000000}"/>
    <cellStyle name="s1240" xfId="1216" xr:uid="{00000000-0005-0000-0000-0000C0040000}"/>
    <cellStyle name="s1241" xfId="1217" xr:uid="{00000000-0005-0000-0000-0000C1040000}"/>
    <cellStyle name="s1242" xfId="1218" xr:uid="{00000000-0005-0000-0000-0000C2040000}"/>
    <cellStyle name="s1243" xfId="1219" xr:uid="{00000000-0005-0000-0000-0000C3040000}"/>
    <cellStyle name="s1244" xfId="1220" xr:uid="{00000000-0005-0000-0000-0000C4040000}"/>
    <cellStyle name="s1245" xfId="1221" xr:uid="{00000000-0005-0000-0000-0000C5040000}"/>
    <cellStyle name="s1246" xfId="1222" xr:uid="{00000000-0005-0000-0000-0000C6040000}"/>
    <cellStyle name="s1247" xfId="1223" xr:uid="{00000000-0005-0000-0000-0000C7040000}"/>
    <cellStyle name="s1248" xfId="1224" xr:uid="{00000000-0005-0000-0000-0000C8040000}"/>
    <cellStyle name="s1249" xfId="1225" xr:uid="{00000000-0005-0000-0000-0000C9040000}"/>
    <cellStyle name="s125" xfId="101" xr:uid="{00000000-0005-0000-0000-000065000000}"/>
    <cellStyle name="s1250" xfId="1226" xr:uid="{00000000-0005-0000-0000-0000CA040000}"/>
    <cellStyle name="s1251" xfId="1227" xr:uid="{00000000-0005-0000-0000-0000CB040000}"/>
    <cellStyle name="s1252" xfId="1228" xr:uid="{00000000-0005-0000-0000-0000CC040000}"/>
    <cellStyle name="s1253" xfId="1229" xr:uid="{00000000-0005-0000-0000-0000CD040000}"/>
    <cellStyle name="s1254" xfId="1230" xr:uid="{00000000-0005-0000-0000-0000CE040000}"/>
    <cellStyle name="s1255" xfId="1231" xr:uid="{00000000-0005-0000-0000-0000CF040000}"/>
    <cellStyle name="s1256" xfId="1232" xr:uid="{00000000-0005-0000-0000-0000D0040000}"/>
    <cellStyle name="s1257" xfId="1233" xr:uid="{00000000-0005-0000-0000-0000D1040000}"/>
    <cellStyle name="s1258" xfId="1234" xr:uid="{00000000-0005-0000-0000-0000D2040000}"/>
    <cellStyle name="s1259" xfId="1235" xr:uid="{00000000-0005-0000-0000-0000D3040000}"/>
    <cellStyle name="s126" xfId="102" xr:uid="{00000000-0005-0000-0000-000066000000}"/>
    <cellStyle name="s1260" xfId="1236" xr:uid="{00000000-0005-0000-0000-0000D4040000}"/>
    <cellStyle name="s1261" xfId="1237" xr:uid="{00000000-0005-0000-0000-0000D5040000}"/>
    <cellStyle name="s1262" xfId="1238" xr:uid="{00000000-0005-0000-0000-0000D6040000}"/>
    <cellStyle name="s1263" xfId="1239" xr:uid="{00000000-0005-0000-0000-0000D7040000}"/>
    <cellStyle name="s1264" xfId="1240" xr:uid="{00000000-0005-0000-0000-0000D8040000}"/>
    <cellStyle name="s1265" xfId="1241" xr:uid="{00000000-0005-0000-0000-0000D9040000}"/>
    <cellStyle name="s1266" xfId="1242" xr:uid="{00000000-0005-0000-0000-0000DA040000}"/>
    <cellStyle name="s1267" xfId="1243" xr:uid="{00000000-0005-0000-0000-0000DB040000}"/>
    <cellStyle name="s1268" xfId="1244" xr:uid="{00000000-0005-0000-0000-0000DC040000}"/>
    <cellStyle name="s1269" xfId="1245" xr:uid="{00000000-0005-0000-0000-0000DD040000}"/>
    <cellStyle name="s127" xfId="103" xr:uid="{00000000-0005-0000-0000-000067000000}"/>
    <cellStyle name="s1270" xfId="1246" xr:uid="{00000000-0005-0000-0000-0000DE040000}"/>
    <cellStyle name="s1271" xfId="1247" xr:uid="{00000000-0005-0000-0000-0000DF040000}"/>
    <cellStyle name="s1272" xfId="1248" xr:uid="{00000000-0005-0000-0000-0000E0040000}"/>
    <cellStyle name="s1273" xfId="1249" xr:uid="{00000000-0005-0000-0000-0000E1040000}"/>
    <cellStyle name="s1274" xfId="1250" xr:uid="{00000000-0005-0000-0000-0000E2040000}"/>
    <cellStyle name="s1275" xfId="1251" xr:uid="{00000000-0005-0000-0000-0000E3040000}"/>
    <cellStyle name="s1276" xfId="1252" xr:uid="{00000000-0005-0000-0000-0000E4040000}"/>
    <cellStyle name="s1277" xfId="1253" xr:uid="{00000000-0005-0000-0000-0000E5040000}"/>
    <cellStyle name="s1278" xfId="1254" xr:uid="{00000000-0005-0000-0000-0000E6040000}"/>
    <cellStyle name="s1279" xfId="1255" xr:uid="{00000000-0005-0000-0000-0000E7040000}"/>
    <cellStyle name="s128" xfId="104" xr:uid="{00000000-0005-0000-0000-000068000000}"/>
    <cellStyle name="s1280" xfId="1256" xr:uid="{00000000-0005-0000-0000-0000E8040000}"/>
    <cellStyle name="s1281" xfId="1257" xr:uid="{00000000-0005-0000-0000-0000E9040000}"/>
    <cellStyle name="s1282" xfId="1258" xr:uid="{00000000-0005-0000-0000-0000EA040000}"/>
    <cellStyle name="s1283" xfId="1259" xr:uid="{00000000-0005-0000-0000-0000EB040000}"/>
    <cellStyle name="s1284" xfId="1260" xr:uid="{00000000-0005-0000-0000-0000EC040000}"/>
    <cellStyle name="s1285" xfId="1261" xr:uid="{00000000-0005-0000-0000-0000ED040000}"/>
    <cellStyle name="s1286" xfId="1262" xr:uid="{00000000-0005-0000-0000-0000EE040000}"/>
    <cellStyle name="s1287" xfId="1263" xr:uid="{00000000-0005-0000-0000-0000EF040000}"/>
    <cellStyle name="s1288" xfId="1264" xr:uid="{00000000-0005-0000-0000-0000F0040000}"/>
    <cellStyle name="s1289" xfId="1265" xr:uid="{00000000-0005-0000-0000-0000F1040000}"/>
    <cellStyle name="s129" xfId="105" xr:uid="{00000000-0005-0000-0000-000069000000}"/>
    <cellStyle name="s1290" xfId="1266" xr:uid="{00000000-0005-0000-0000-0000F2040000}"/>
    <cellStyle name="s1291" xfId="1267" xr:uid="{00000000-0005-0000-0000-0000F3040000}"/>
    <cellStyle name="s1292" xfId="1268" xr:uid="{00000000-0005-0000-0000-0000F4040000}"/>
    <cellStyle name="s1293" xfId="1269" xr:uid="{00000000-0005-0000-0000-0000F5040000}"/>
    <cellStyle name="s1294" xfId="1270" xr:uid="{00000000-0005-0000-0000-0000F6040000}"/>
    <cellStyle name="s1295" xfId="1271" xr:uid="{00000000-0005-0000-0000-0000F7040000}"/>
    <cellStyle name="s1296" xfId="1272" xr:uid="{00000000-0005-0000-0000-0000F8040000}"/>
    <cellStyle name="s1297" xfId="1273" xr:uid="{00000000-0005-0000-0000-0000F9040000}"/>
    <cellStyle name="s1298" xfId="1274" xr:uid="{00000000-0005-0000-0000-0000FA040000}"/>
    <cellStyle name="s1299" xfId="1275" xr:uid="{00000000-0005-0000-0000-0000FB040000}"/>
    <cellStyle name="s13" xfId="3" xr:uid="{00000000-0005-0000-0000-000003000000}"/>
    <cellStyle name="s130" xfId="106" xr:uid="{00000000-0005-0000-0000-00006A000000}"/>
    <cellStyle name="s1300" xfId="1276" xr:uid="{00000000-0005-0000-0000-0000FC040000}"/>
    <cellStyle name="s1301" xfId="1277" xr:uid="{00000000-0005-0000-0000-0000FD040000}"/>
    <cellStyle name="s1302" xfId="1278" xr:uid="{00000000-0005-0000-0000-0000FE040000}"/>
    <cellStyle name="s1303" xfId="1279" xr:uid="{00000000-0005-0000-0000-0000FF040000}"/>
    <cellStyle name="s1304" xfId="1280" xr:uid="{00000000-0005-0000-0000-000000050000}"/>
    <cellStyle name="s1305" xfId="1281" xr:uid="{00000000-0005-0000-0000-000001050000}"/>
    <cellStyle name="s1306" xfId="1282" xr:uid="{00000000-0005-0000-0000-000002050000}"/>
    <cellStyle name="s1307" xfId="1283" xr:uid="{00000000-0005-0000-0000-000003050000}"/>
    <cellStyle name="s1308" xfId="1284" xr:uid="{00000000-0005-0000-0000-000004050000}"/>
    <cellStyle name="s1309" xfId="1285" xr:uid="{00000000-0005-0000-0000-000005050000}"/>
    <cellStyle name="s131" xfId="107" xr:uid="{00000000-0005-0000-0000-00006B000000}"/>
    <cellStyle name="s1310" xfId="1286" xr:uid="{00000000-0005-0000-0000-000006050000}"/>
    <cellStyle name="s1311" xfId="1287" xr:uid="{00000000-0005-0000-0000-000007050000}"/>
    <cellStyle name="s1312" xfId="1288" xr:uid="{00000000-0005-0000-0000-000008050000}"/>
    <cellStyle name="s1313" xfId="1289" xr:uid="{00000000-0005-0000-0000-000009050000}"/>
    <cellStyle name="s1314" xfId="1290" xr:uid="{00000000-0005-0000-0000-00000A050000}"/>
    <cellStyle name="s1315" xfId="1291" xr:uid="{00000000-0005-0000-0000-00000B050000}"/>
    <cellStyle name="s1316" xfId="1292" xr:uid="{00000000-0005-0000-0000-00000C050000}"/>
    <cellStyle name="s1317" xfId="1293" xr:uid="{00000000-0005-0000-0000-00000D050000}"/>
    <cellStyle name="s1318" xfId="1294" xr:uid="{00000000-0005-0000-0000-00000E050000}"/>
    <cellStyle name="s1319" xfId="1295" xr:uid="{00000000-0005-0000-0000-00000F050000}"/>
    <cellStyle name="s132" xfId="108" xr:uid="{00000000-0005-0000-0000-00006C000000}"/>
    <cellStyle name="s1320" xfId="1296" xr:uid="{00000000-0005-0000-0000-000010050000}"/>
    <cellStyle name="s1321" xfId="1297" xr:uid="{00000000-0005-0000-0000-000011050000}"/>
    <cellStyle name="s1322" xfId="1298" xr:uid="{00000000-0005-0000-0000-000012050000}"/>
    <cellStyle name="s1323" xfId="1299" xr:uid="{00000000-0005-0000-0000-000013050000}"/>
    <cellStyle name="s1324" xfId="1300" xr:uid="{00000000-0005-0000-0000-000014050000}"/>
    <cellStyle name="s1325" xfId="1301" xr:uid="{00000000-0005-0000-0000-000015050000}"/>
    <cellStyle name="s1326" xfId="1302" xr:uid="{00000000-0005-0000-0000-000016050000}"/>
    <cellStyle name="s1327" xfId="1303" xr:uid="{00000000-0005-0000-0000-000017050000}"/>
    <cellStyle name="s1328" xfId="1304" xr:uid="{00000000-0005-0000-0000-000018050000}"/>
    <cellStyle name="s1329" xfId="1305" xr:uid="{00000000-0005-0000-0000-000019050000}"/>
    <cellStyle name="s133" xfId="109" xr:uid="{00000000-0005-0000-0000-00006D000000}"/>
    <cellStyle name="s1330" xfId="1306" xr:uid="{00000000-0005-0000-0000-00001A050000}"/>
    <cellStyle name="s1331" xfId="1307" xr:uid="{00000000-0005-0000-0000-00001B050000}"/>
    <cellStyle name="s1332" xfId="1308" xr:uid="{00000000-0005-0000-0000-00001C050000}"/>
    <cellStyle name="s1333" xfId="1309" xr:uid="{00000000-0005-0000-0000-00001D050000}"/>
    <cellStyle name="s1334" xfId="1310" xr:uid="{00000000-0005-0000-0000-00001E050000}"/>
    <cellStyle name="s1335" xfId="1311" xr:uid="{00000000-0005-0000-0000-00001F050000}"/>
    <cellStyle name="s1336" xfId="1312" xr:uid="{00000000-0005-0000-0000-000020050000}"/>
    <cellStyle name="s1337" xfId="1313" xr:uid="{00000000-0005-0000-0000-000021050000}"/>
    <cellStyle name="s1338" xfId="1314" xr:uid="{00000000-0005-0000-0000-000022050000}"/>
    <cellStyle name="s1339" xfId="1315" xr:uid="{00000000-0005-0000-0000-000023050000}"/>
    <cellStyle name="s134" xfId="110" xr:uid="{00000000-0005-0000-0000-00006E000000}"/>
    <cellStyle name="s1340" xfId="1316" xr:uid="{00000000-0005-0000-0000-000024050000}"/>
    <cellStyle name="s1341" xfId="1317" xr:uid="{00000000-0005-0000-0000-000025050000}"/>
    <cellStyle name="s1342" xfId="1318" xr:uid="{00000000-0005-0000-0000-000026050000}"/>
    <cellStyle name="s1343" xfId="1319" xr:uid="{00000000-0005-0000-0000-000027050000}"/>
    <cellStyle name="s1344" xfId="1320" xr:uid="{00000000-0005-0000-0000-000028050000}"/>
    <cellStyle name="s1345" xfId="1321" xr:uid="{00000000-0005-0000-0000-000029050000}"/>
    <cellStyle name="s1346" xfId="1322" xr:uid="{00000000-0005-0000-0000-00002A050000}"/>
    <cellStyle name="s1347" xfId="1323" xr:uid="{00000000-0005-0000-0000-00002B050000}"/>
    <cellStyle name="s1348" xfId="1324" xr:uid="{00000000-0005-0000-0000-00002C050000}"/>
    <cellStyle name="s1349" xfId="1325" xr:uid="{00000000-0005-0000-0000-00002D050000}"/>
    <cellStyle name="s135" xfId="111" xr:uid="{00000000-0005-0000-0000-00006F000000}"/>
    <cellStyle name="s1350" xfId="1326" xr:uid="{00000000-0005-0000-0000-00002E050000}"/>
    <cellStyle name="s1351" xfId="1327" xr:uid="{00000000-0005-0000-0000-00002F050000}"/>
    <cellStyle name="s1352" xfId="1328" xr:uid="{00000000-0005-0000-0000-000030050000}"/>
    <cellStyle name="s1353" xfId="1329" xr:uid="{00000000-0005-0000-0000-000031050000}"/>
    <cellStyle name="s1354" xfId="1330" xr:uid="{00000000-0005-0000-0000-000032050000}"/>
    <cellStyle name="s1355" xfId="1331" xr:uid="{00000000-0005-0000-0000-000033050000}"/>
    <cellStyle name="s1356" xfId="1332" xr:uid="{00000000-0005-0000-0000-000034050000}"/>
    <cellStyle name="s1357" xfId="1333" xr:uid="{00000000-0005-0000-0000-000035050000}"/>
    <cellStyle name="s1358" xfId="1334" xr:uid="{00000000-0005-0000-0000-000036050000}"/>
    <cellStyle name="s1359" xfId="1335" xr:uid="{00000000-0005-0000-0000-000037050000}"/>
    <cellStyle name="s136" xfId="112" xr:uid="{00000000-0005-0000-0000-000070000000}"/>
    <cellStyle name="s1360" xfId="1336" xr:uid="{00000000-0005-0000-0000-000038050000}"/>
    <cellStyle name="s1361" xfId="1337" xr:uid="{00000000-0005-0000-0000-000039050000}"/>
    <cellStyle name="s1362" xfId="1338" xr:uid="{00000000-0005-0000-0000-00003A050000}"/>
    <cellStyle name="s1363" xfId="1339" xr:uid="{00000000-0005-0000-0000-00003B050000}"/>
    <cellStyle name="s1364" xfId="1340" xr:uid="{00000000-0005-0000-0000-00003C050000}"/>
    <cellStyle name="s1365" xfId="1341" xr:uid="{00000000-0005-0000-0000-00003D050000}"/>
    <cellStyle name="s1366" xfId="1342" xr:uid="{00000000-0005-0000-0000-00003E050000}"/>
    <cellStyle name="s1367" xfId="1343" xr:uid="{00000000-0005-0000-0000-00003F050000}"/>
    <cellStyle name="s1368" xfId="1344" xr:uid="{00000000-0005-0000-0000-000040050000}"/>
    <cellStyle name="s1369" xfId="1345" xr:uid="{00000000-0005-0000-0000-000041050000}"/>
    <cellStyle name="s137" xfId="113" xr:uid="{00000000-0005-0000-0000-000071000000}"/>
    <cellStyle name="s1370" xfId="1346" xr:uid="{00000000-0005-0000-0000-000042050000}"/>
    <cellStyle name="s1371" xfId="1347" xr:uid="{00000000-0005-0000-0000-000043050000}"/>
    <cellStyle name="s1372" xfId="1348" xr:uid="{00000000-0005-0000-0000-000044050000}"/>
    <cellStyle name="s1373" xfId="1349" xr:uid="{00000000-0005-0000-0000-000045050000}"/>
    <cellStyle name="s1374" xfId="1350" xr:uid="{00000000-0005-0000-0000-000046050000}"/>
    <cellStyle name="s1375" xfId="1351" xr:uid="{00000000-0005-0000-0000-000047050000}"/>
    <cellStyle name="s1376" xfId="1352" xr:uid="{00000000-0005-0000-0000-000048050000}"/>
    <cellStyle name="s1377" xfId="1353" xr:uid="{00000000-0005-0000-0000-000049050000}"/>
    <cellStyle name="s1378" xfId="1354" xr:uid="{00000000-0005-0000-0000-00004A050000}"/>
    <cellStyle name="s1379" xfId="1355" xr:uid="{00000000-0005-0000-0000-00004B050000}"/>
    <cellStyle name="s138" xfId="114" xr:uid="{00000000-0005-0000-0000-000072000000}"/>
    <cellStyle name="s1380" xfId="1356" xr:uid="{00000000-0005-0000-0000-00004C050000}"/>
    <cellStyle name="s1381" xfId="1357" xr:uid="{00000000-0005-0000-0000-00004D050000}"/>
    <cellStyle name="s1382" xfId="1358" xr:uid="{00000000-0005-0000-0000-00004E050000}"/>
    <cellStyle name="s1383" xfId="1359" xr:uid="{00000000-0005-0000-0000-00004F050000}"/>
    <cellStyle name="s1384" xfId="1360" xr:uid="{00000000-0005-0000-0000-000050050000}"/>
    <cellStyle name="s1385" xfId="1361" xr:uid="{00000000-0005-0000-0000-000051050000}"/>
    <cellStyle name="s1386" xfId="1362" xr:uid="{00000000-0005-0000-0000-000052050000}"/>
    <cellStyle name="s1387" xfId="1363" xr:uid="{00000000-0005-0000-0000-000053050000}"/>
    <cellStyle name="s1388" xfId="1364" xr:uid="{00000000-0005-0000-0000-000054050000}"/>
    <cellStyle name="s1389" xfId="1365" xr:uid="{00000000-0005-0000-0000-000055050000}"/>
    <cellStyle name="s139" xfId="115" xr:uid="{00000000-0005-0000-0000-000073000000}"/>
    <cellStyle name="s1390" xfId="1366" xr:uid="{00000000-0005-0000-0000-000056050000}"/>
    <cellStyle name="s1391" xfId="1367" xr:uid="{00000000-0005-0000-0000-000057050000}"/>
    <cellStyle name="s1392" xfId="1368" xr:uid="{00000000-0005-0000-0000-000058050000}"/>
    <cellStyle name="s1393" xfId="1369" xr:uid="{00000000-0005-0000-0000-000059050000}"/>
    <cellStyle name="s1394" xfId="1370" xr:uid="{00000000-0005-0000-0000-00005A050000}"/>
    <cellStyle name="s1395" xfId="1371" xr:uid="{00000000-0005-0000-0000-00005B050000}"/>
    <cellStyle name="s1396" xfId="1372" xr:uid="{00000000-0005-0000-0000-00005C050000}"/>
    <cellStyle name="s1397" xfId="1373" xr:uid="{00000000-0005-0000-0000-00005D050000}"/>
    <cellStyle name="s1398" xfId="1374" xr:uid="{00000000-0005-0000-0000-00005E050000}"/>
    <cellStyle name="s1399" xfId="1375" xr:uid="{00000000-0005-0000-0000-00005F050000}"/>
    <cellStyle name="s14" xfId="4" xr:uid="{00000000-0005-0000-0000-000004000000}"/>
    <cellStyle name="s140" xfId="116" xr:uid="{00000000-0005-0000-0000-000074000000}"/>
    <cellStyle name="s1400" xfId="1376" xr:uid="{00000000-0005-0000-0000-000060050000}"/>
    <cellStyle name="s1401" xfId="1377" xr:uid="{00000000-0005-0000-0000-000061050000}"/>
    <cellStyle name="s1402" xfId="1378" xr:uid="{00000000-0005-0000-0000-000062050000}"/>
    <cellStyle name="s1403" xfId="1379" xr:uid="{00000000-0005-0000-0000-000063050000}"/>
    <cellStyle name="s1404" xfId="1380" xr:uid="{00000000-0005-0000-0000-000064050000}"/>
    <cellStyle name="s1405" xfId="1381" xr:uid="{00000000-0005-0000-0000-000065050000}"/>
    <cellStyle name="s1406" xfId="1382" xr:uid="{00000000-0005-0000-0000-000066050000}"/>
    <cellStyle name="s1407" xfId="1383" xr:uid="{00000000-0005-0000-0000-000067050000}"/>
    <cellStyle name="s1408" xfId="1384" xr:uid="{00000000-0005-0000-0000-000068050000}"/>
    <cellStyle name="s1409" xfId="1385" xr:uid="{00000000-0005-0000-0000-000069050000}"/>
    <cellStyle name="s141" xfId="117" xr:uid="{00000000-0005-0000-0000-000075000000}"/>
    <cellStyle name="s1410" xfId="1386" xr:uid="{00000000-0005-0000-0000-00006A050000}"/>
    <cellStyle name="s1411" xfId="1387" xr:uid="{00000000-0005-0000-0000-00006B050000}"/>
    <cellStyle name="s1412" xfId="1388" xr:uid="{00000000-0005-0000-0000-00006C050000}"/>
    <cellStyle name="s1413" xfId="1389" xr:uid="{00000000-0005-0000-0000-00006D050000}"/>
    <cellStyle name="s1414" xfId="1390" xr:uid="{00000000-0005-0000-0000-00006E050000}"/>
    <cellStyle name="s1415" xfId="1391" xr:uid="{00000000-0005-0000-0000-00006F050000}"/>
    <cellStyle name="s1416" xfId="1392" xr:uid="{00000000-0005-0000-0000-000070050000}"/>
    <cellStyle name="s1417" xfId="1393" xr:uid="{00000000-0005-0000-0000-000071050000}"/>
    <cellStyle name="s1418" xfId="1394" xr:uid="{00000000-0005-0000-0000-000072050000}"/>
    <cellStyle name="s1419" xfId="1395" xr:uid="{00000000-0005-0000-0000-000073050000}"/>
    <cellStyle name="s142" xfId="118" xr:uid="{00000000-0005-0000-0000-000076000000}"/>
    <cellStyle name="s1420" xfId="1396" xr:uid="{00000000-0005-0000-0000-000074050000}"/>
    <cellStyle name="s1421" xfId="1397" xr:uid="{00000000-0005-0000-0000-000075050000}"/>
    <cellStyle name="s1422" xfId="1398" xr:uid="{00000000-0005-0000-0000-000076050000}"/>
    <cellStyle name="s1423" xfId="1399" xr:uid="{00000000-0005-0000-0000-000077050000}"/>
    <cellStyle name="s1424" xfId="1400" xr:uid="{00000000-0005-0000-0000-000078050000}"/>
    <cellStyle name="s1425" xfId="1401" xr:uid="{00000000-0005-0000-0000-000079050000}"/>
    <cellStyle name="s1426" xfId="1402" xr:uid="{00000000-0005-0000-0000-00007A050000}"/>
    <cellStyle name="s1427" xfId="1403" xr:uid="{00000000-0005-0000-0000-00007B050000}"/>
    <cellStyle name="s1428" xfId="1404" xr:uid="{00000000-0005-0000-0000-00007C050000}"/>
    <cellStyle name="s1429" xfId="1405" xr:uid="{00000000-0005-0000-0000-00007D050000}"/>
    <cellStyle name="s143" xfId="119" xr:uid="{00000000-0005-0000-0000-000077000000}"/>
    <cellStyle name="s1430" xfId="1406" xr:uid="{00000000-0005-0000-0000-00007E050000}"/>
    <cellStyle name="s1431" xfId="1407" xr:uid="{00000000-0005-0000-0000-00007F050000}"/>
    <cellStyle name="s1432" xfId="1408" xr:uid="{00000000-0005-0000-0000-000080050000}"/>
    <cellStyle name="s1433" xfId="1409" xr:uid="{00000000-0005-0000-0000-000081050000}"/>
    <cellStyle name="s1434" xfId="1410" xr:uid="{00000000-0005-0000-0000-000082050000}"/>
    <cellStyle name="s1435" xfId="1411" xr:uid="{00000000-0005-0000-0000-000083050000}"/>
    <cellStyle name="s1436" xfId="1412" xr:uid="{00000000-0005-0000-0000-000084050000}"/>
    <cellStyle name="s1437" xfId="1413" xr:uid="{00000000-0005-0000-0000-000085050000}"/>
    <cellStyle name="s1438" xfId="1414" xr:uid="{00000000-0005-0000-0000-000086050000}"/>
    <cellStyle name="s1439" xfId="1415" xr:uid="{00000000-0005-0000-0000-000087050000}"/>
    <cellStyle name="s144" xfId="120" xr:uid="{00000000-0005-0000-0000-000078000000}"/>
    <cellStyle name="s1440" xfId="1416" xr:uid="{00000000-0005-0000-0000-000088050000}"/>
    <cellStyle name="s1441" xfId="1417" xr:uid="{00000000-0005-0000-0000-000089050000}"/>
    <cellStyle name="s1442" xfId="1418" xr:uid="{00000000-0005-0000-0000-00008A050000}"/>
    <cellStyle name="s1443" xfId="1419" xr:uid="{00000000-0005-0000-0000-00008B050000}"/>
    <cellStyle name="s1444" xfId="1420" xr:uid="{00000000-0005-0000-0000-00008C050000}"/>
    <cellStyle name="s1445" xfId="1421" xr:uid="{00000000-0005-0000-0000-00008D050000}"/>
    <cellStyle name="s1446" xfId="1422" xr:uid="{00000000-0005-0000-0000-00008E050000}"/>
    <cellStyle name="s1447" xfId="1423" xr:uid="{00000000-0005-0000-0000-00008F050000}"/>
    <cellStyle name="s1448" xfId="1424" xr:uid="{00000000-0005-0000-0000-000090050000}"/>
    <cellStyle name="s1449" xfId="1425" xr:uid="{00000000-0005-0000-0000-000091050000}"/>
    <cellStyle name="s145" xfId="121" xr:uid="{00000000-0005-0000-0000-000079000000}"/>
    <cellStyle name="s1450" xfId="1426" xr:uid="{00000000-0005-0000-0000-000092050000}"/>
    <cellStyle name="s1451" xfId="1427" xr:uid="{00000000-0005-0000-0000-000093050000}"/>
    <cellStyle name="s1452" xfId="1428" xr:uid="{00000000-0005-0000-0000-000094050000}"/>
    <cellStyle name="s1453" xfId="1429" xr:uid="{00000000-0005-0000-0000-000095050000}"/>
    <cellStyle name="s1454" xfId="1430" xr:uid="{00000000-0005-0000-0000-000096050000}"/>
    <cellStyle name="s1455" xfId="1431" xr:uid="{00000000-0005-0000-0000-000097050000}"/>
    <cellStyle name="s1456" xfId="1432" xr:uid="{00000000-0005-0000-0000-000098050000}"/>
    <cellStyle name="s1457" xfId="1433" xr:uid="{00000000-0005-0000-0000-000099050000}"/>
    <cellStyle name="s1458" xfId="1434" xr:uid="{00000000-0005-0000-0000-00009A050000}"/>
    <cellStyle name="s1459" xfId="1435" xr:uid="{00000000-0005-0000-0000-00009B050000}"/>
    <cellStyle name="s146" xfId="122" xr:uid="{00000000-0005-0000-0000-00007A000000}"/>
    <cellStyle name="s1460" xfId="1436" xr:uid="{00000000-0005-0000-0000-00009C050000}"/>
    <cellStyle name="s1461" xfId="1437" xr:uid="{00000000-0005-0000-0000-00009D050000}"/>
    <cellStyle name="s1462" xfId="1438" xr:uid="{00000000-0005-0000-0000-00009E050000}"/>
    <cellStyle name="s1463" xfId="1439" xr:uid="{00000000-0005-0000-0000-00009F050000}"/>
    <cellStyle name="s1464" xfId="1440" xr:uid="{00000000-0005-0000-0000-0000A0050000}"/>
    <cellStyle name="s1465" xfId="1441" xr:uid="{00000000-0005-0000-0000-0000A1050000}"/>
    <cellStyle name="s1466" xfId="1442" xr:uid="{00000000-0005-0000-0000-0000A2050000}"/>
    <cellStyle name="s1467" xfId="1443" xr:uid="{00000000-0005-0000-0000-0000A3050000}"/>
    <cellStyle name="s1468" xfId="1444" xr:uid="{00000000-0005-0000-0000-0000A4050000}"/>
    <cellStyle name="s1469" xfId="1445" xr:uid="{00000000-0005-0000-0000-0000A5050000}"/>
    <cellStyle name="s147" xfId="123" xr:uid="{00000000-0005-0000-0000-00007B000000}"/>
    <cellStyle name="s1470" xfId="1446" xr:uid="{00000000-0005-0000-0000-0000A6050000}"/>
    <cellStyle name="s1471" xfId="1447" xr:uid="{00000000-0005-0000-0000-0000A7050000}"/>
    <cellStyle name="s1472" xfId="1448" xr:uid="{00000000-0005-0000-0000-0000A8050000}"/>
    <cellStyle name="s1473" xfId="1449" xr:uid="{00000000-0005-0000-0000-0000A9050000}"/>
    <cellStyle name="s1474" xfId="1450" xr:uid="{00000000-0005-0000-0000-0000AA050000}"/>
    <cellStyle name="s1475" xfId="1451" xr:uid="{00000000-0005-0000-0000-0000AB050000}"/>
    <cellStyle name="s1476" xfId="1452" xr:uid="{00000000-0005-0000-0000-0000AC050000}"/>
    <cellStyle name="s1477" xfId="1453" xr:uid="{00000000-0005-0000-0000-0000AD050000}"/>
    <cellStyle name="s1478" xfId="1454" xr:uid="{00000000-0005-0000-0000-0000AE050000}"/>
    <cellStyle name="s1479" xfId="1455" xr:uid="{00000000-0005-0000-0000-0000AF050000}"/>
    <cellStyle name="s148" xfId="124" xr:uid="{00000000-0005-0000-0000-00007C000000}"/>
    <cellStyle name="s1480" xfId="1456" xr:uid="{00000000-0005-0000-0000-0000B0050000}"/>
    <cellStyle name="s1481" xfId="1457" xr:uid="{00000000-0005-0000-0000-0000B1050000}"/>
    <cellStyle name="s1482" xfId="1458" xr:uid="{00000000-0005-0000-0000-0000B2050000}"/>
    <cellStyle name="s1483" xfId="1459" xr:uid="{00000000-0005-0000-0000-0000B3050000}"/>
    <cellStyle name="s1484" xfId="1460" xr:uid="{00000000-0005-0000-0000-0000B4050000}"/>
    <cellStyle name="s1485" xfId="1461" xr:uid="{00000000-0005-0000-0000-0000B5050000}"/>
    <cellStyle name="s1486" xfId="1462" xr:uid="{00000000-0005-0000-0000-0000B6050000}"/>
    <cellStyle name="s1487" xfId="1463" xr:uid="{00000000-0005-0000-0000-0000B7050000}"/>
    <cellStyle name="s1488" xfId="1464" xr:uid="{00000000-0005-0000-0000-0000B8050000}"/>
    <cellStyle name="s1489" xfId="1465" xr:uid="{00000000-0005-0000-0000-0000B9050000}"/>
    <cellStyle name="s149" xfId="125" xr:uid="{00000000-0005-0000-0000-00007D000000}"/>
    <cellStyle name="s1490" xfId="1466" xr:uid="{00000000-0005-0000-0000-0000BA050000}"/>
    <cellStyle name="s1491" xfId="1467" xr:uid="{00000000-0005-0000-0000-0000BB050000}"/>
    <cellStyle name="s1492" xfId="1468" xr:uid="{00000000-0005-0000-0000-0000BC050000}"/>
    <cellStyle name="s1493" xfId="1469" xr:uid="{00000000-0005-0000-0000-0000BD050000}"/>
    <cellStyle name="s1494" xfId="1470" xr:uid="{00000000-0005-0000-0000-0000BE050000}"/>
    <cellStyle name="s1495" xfId="1471" xr:uid="{00000000-0005-0000-0000-0000BF050000}"/>
    <cellStyle name="s1496" xfId="1472" xr:uid="{00000000-0005-0000-0000-0000C0050000}"/>
    <cellStyle name="s1497" xfId="1473" xr:uid="{00000000-0005-0000-0000-0000C1050000}"/>
    <cellStyle name="s1498" xfId="1474" xr:uid="{00000000-0005-0000-0000-0000C2050000}"/>
    <cellStyle name="s1499" xfId="1475" xr:uid="{00000000-0005-0000-0000-0000C3050000}"/>
    <cellStyle name="s15" xfId="5" xr:uid="{00000000-0005-0000-0000-000005000000}"/>
    <cellStyle name="s150" xfId="126" xr:uid="{00000000-0005-0000-0000-00007E000000}"/>
    <cellStyle name="s1500" xfId="1476" xr:uid="{00000000-0005-0000-0000-0000C4050000}"/>
    <cellStyle name="s1501" xfId="1477" xr:uid="{00000000-0005-0000-0000-0000C5050000}"/>
    <cellStyle name="s1502" xfId="1478" xr:uid="{00000000-0005-0000-0000-0000C6050000}"/>
    <cellStyle name="s1503" xfId="1479" xr:uid="{00000000-0005-0000-0000-0000C7050000}"/>
    <cellStyle name="s1504" xfId="1480" xr:uid="{00000000-0005-0000-0000-0000C8050000}"/>
    <cellStyle name="s1505" xfId="1481" xr:uid="{00000000-0005-0000-0000-0000C9050000}"/>
    <cellStyle name="s1506" xfId="1482" xr:uid="{00000000-0005-0000-0000-0000CA050000}"/>
    <cellStyle name="s1507" xfId="1483" xr:uid="{00000000-0005-0000-0000-0000CB050000}"/>
    <cellStyle name="s1508" xfId="1484" xr:uid="{00000000-0005-0000-0000-0000CC050000}"/>
    <cellStyle name="s1509" xfId="1485" xr:uid="{00000000-0005-0000-0000-0000CD050000}"/>
    <cellStyle name="s151" xfId="127" xr:uid="{00000000-0005-0000-0000-00007F000000}"/>
    <cellStyle name="s1510" xfId="1486" xr:uid="{00000000-0005-0000-0000-0000CE050000}"/>
    <cellStyle name="s1511" xfId="1487" xr:uid="{00000000-0005-0000-0000-0000CF050000}"/>
    <cellStyle name="s1512" xfId="1488" xr:uid="{00000000-0005-0000-0000-0000D0050000}"/>
    <cellStyle name="s1513" xfId="1489" xr:uid="{00000000-0005-0000-0000-0000D1050000}"/>
    <cellStyle name="s1514" xfId="1490" xr:uid="{00000000-0005-0000-0000-0000D2050000}"/>
    <cellStyle name="s1515" xfId="1491" xr:uid="{00000000-0005-0000-0000-0000D3050000}"/>
    <cellStyle name="s1516" xfId="1492" xr:uid="{00000000-0005-0000-0000-0000D4050000}"/>
    <cellStyle name="s1517" xfId="1493" xr:uid="{00000000-0005-0000-0000-0000D5050000}"/>
    <cellStyle name="s1518" xfId="1494" xr:uid="{00000000-0005-0000-0000-0000D6050000}"/>
    <cellStyle name="s1519" xfId="1495" xr:uid="{00000000-0005-0000-0000-0000D7050000}"/>
    <cellStyle name="s152" xfId="128" xr:uid="{00000000-0005-0000-0000-000080000000}"/>
    <cellStyle name="s1520" xfId="1496" xr:uid="{00000000-0005-0000-0000-0000D8050000}"/>
    <cellStyle name="s1521" xfId="1497" xr:uid="{00000000-0005-0000-0000-0000D9050000}"/>
    <cellStyle name="s1522" xfId="1498" xr:uid="{00000000-0005-0000-0000-0000DA050000}"/>
    <cellStyle name="s1523" xfId="1499" xr:uid="{00000000-0005-0000-0000-0000DB050000}"/>
    <cellStyle name="s1524" xfId="1500" xr:uid="{00000000-0005-0000-0000-0000DC050000}"/>
    <cellStyle name="s1525" xfId="1501" xr:uid="{00000000-0005-0000-0000-0000DD050000}"/>
    <cellStyle name="s1526" xfId="1502" xr:uid="{00000000-0005-0000-0000-0000DE050000}"/>
    <cellStyle name="s1527" xfId="1503" xr:uid="{00000000-0005-0000-0000-0000DF050000}"/>
    <cellStyle name="s1528" xfId="1504" xr:uid="{00000000-0005-0000-0000-0000E0050000}"/>
    <cellStyle name="s1529" xfId="1505" xr:uid="{00000000-0005-0000-0000-0000E1050000}"/>
    <cellStyle name="s153" xfId="129" xr:uid="{00000000-0005-0000-0000-000081000000}"/>
    <cellStyle name="s1530" xfId="1506" xr:uid="{00000000-0005-0000-0000-0000E2050000}"/>
    <cellStyle name="s1531" xfId="1507" xr:uid="{00000000-0005-0000-0000-0000E3050000}"/>
    <cellStyle name="s1532" xfId="1508" xr:uid="{00000000-0005-0000-0000-0000E4050000}"/>
    <cellStyle name="s1533" xfId="1509" xr:uid="{00000000-0005-0000-0000-0000E5050000}"/>
    <cellStyle name="s1534" xfId="1510" xr:uid="{00000000-0005-0000-0000-0000E6050000}"/>
    <cellStyle name="s1535" xfId="1511" xr:uid="{00000000-0005-0000-0000-0000E7050000}"/>
    <cellStyle name="s1536" xfId="1512" xr:uid="{00000000-0005-0000-0000-0000E8050000}"/>
    <cellStyle name="s1537" xfId="1513" xr:uid="{00000000-0005-0000-0000-0000E9050000}"/>
    <cellStyle name="s1538" xfId="1514" xr:uid="{00000000-0005-0000-0000-0000EA050000}"/>
    <cellStyle name="s1539" xfId="1515" xr:uid="{00000000-0005-0000-0000-0000EB050000}"/>
    <cellStyle name="s154" xfId="130" xr:uid="{00000000-0005-0000-0000-000082000000}"/>
    <cellStyle name="s1540" xfId="1516" xr:uid="{00000000-0005-0000-0000-0000EC050000}"/>
    <cellStyle name="s1541" xfId="1517" xr:uid="{00000000-0005-0000-0000-0000ED050000}"/>
    <cellStyle name="s1542" xfId="1518" xr:uid="{00000000-0005-0000-0000-0000EE050000}"/>
    <cellStyle name="s1543" xfId="1519" xr:uid="{00000000-0005-0000-0000-0000EF050000}"/>
    <cellStyle name="s1544" xfId="1520" xr:uid="{00000000-0005-0000-0000-0000F0050000}"/>
    <cellStyle name="s1545" xfId="1521" xr:uid="{00000000-0005-0000-0000-0000F1050000}"/>
    <cellStyle name="s1546" xfId="1522" xr:uid="{00000000-0005-0000-0000-0000F2050000}"/>
    <cellStyle name="s1547" xfId="1523" xr:uid="{00000000-0005-0000-0000-0000F3050000}"/>
    <cellStyle name="s1548" xfId="1524" xr:uid="{00000000-0005-0000-0000-0000F4050000}"/>
    <cellStyle name="s1549" xfId="1525" xr:uid="{00000000-0005-0000-0000-0000F5050000}"/>
    <cellStyle name="s155" xfId="131" xr:uid="{00000000-0005-0000-0000-000083000000}"/>
    <cellStyle name="s1550" xfId="1526" xr:uid="{00000000-0005-0000-0000-0000F6050000}"/>
    <cellStyle name="s1551" xfId="1527" xr:uid="{00000000-0005-0000-0000-0000F7050000}"/>
    <cellStyle name="s1552" xfId="1528" xr:uid="{00000000-0005-0000-0000-0000F8050000}"/>
    <cellStyle name="s1553" xfId="1529" xr:uid="{00000000-0005-0000-0000-0000F9050000}"/>
    <cellStyle name="s1554" xfId="1530" xr:uid="{00000000-0005-0000-0000-0000FA050000}"/>
    <cellStyle name="s1555" xfId="1531" xr:uid="{00000000-0005-0000-0000-0000FB050000}"/>
    <cellStyle name="s1556" xfId="1532" xr:uid="{00000000-0005-0000-0000-0000FC050000}"/>
    <cellStyle name="s1557" xfId="1533" xr:uid="{00000000-0005-0000-0000-0000FD050000}"/>
    <cellStyle name="s1558" xfId="1534" xr:uid="{00000000-0005-0000-0000-0000FE050000}"/>
    <cellStyle name="s1559" xfId="1535" xr:uid="{00000000-0005-0000-0000-0000FF050000}"/>
    <cellStyle name="s156" xfId="132" xr:uid="{00000000-0005-0000-0000-000084000000}"/>
    <cellStyle name="s1560" xfId="1536" xr:uid="{00000000-0005-0000-0000-000000060000}"/>
    <cellStyle name="s1561" xfId="1537" xr:uid="{00000000-0005-0000-0000-000001060000}"/>
    <cellStyle name="s1562" xfId="1538" xr:uid="{00000000-0005-0000-0000-000002060000}"/>
    <cellStyle name="s1563" xfId="1539" xr:uid="{00000000-0005-0000-0000-000003060000}"/>
    <cellStyle name="s1564" xfId="1540" xr:uid="{00000000-0005-0000-0000-000004060000}"/>
    <cellStyle name="s1565" xfId="1541" xr:uid="{00000000-0005-0000-0000-000005060000}"/>
    <cellStyle name="s1566" xfId="1542" xr:uid="{00000000-0005-0000-0000-000006060000}"/>
    <cellStyle name="s1567" xfId="1543" xr:uid="{00000000-0005-0000-0000-000007060000}"/>
    <cellStyle name="s1568" xfId="1544" xr:uid="{00000000-0005-0000-0000-000008060000}"/>
    <cellStyle name="s1569" xfId="1545" xr:uid="{00000000-0005-0000-0000-000009060000}"/>
    <cellStyle name="s157" xfId="133" xr:uid="{00000000-0005-0000-0000-000085000000}"/>
    <cellStyle name="s1570" xfId="1546" xr:uid="{00000000-0005-0000-0000-00000A060000}"/>
    <cellStyle name="s1571" xfId="1547" xr:uid="{00000000-0005-0000-0000-00000B060000}"/>
    <cellStyle name="s1572" xfId="1548" xr:uid="{00000000-0005-0000-0000-00000C060000}"/>
    <cellStyle name="s1573" xfId="1549" xr:uid="{00000000-0005-0000-0000-00000D060000}"/>
    <cellStyle name="s1574" xfId="1550" xr:uid="{00000000-0005-0000-0000-00000E060000}"/>
    <cellStyle name="s1575" xfId="1551" xr:uid="{00000000-0005-0000-0000-00000F060000}"/>
    <cellStyle name="s1576" xfId="1552" xr:uid="{00000000-0005-0000-0000-000010060000}"/>
    <cellStyle name="s1577" xfId="1553" xr:uid="{00000000-0005-0000-0000-000011060000}"/>
    <cellStyle name="s1578" xfId="1554" xr:uid="{00000000-0005-0000-0000-000012060000}"/>
    <cellStyle name="s1579" xfId="1555" xr:uid="{00000000-0005-0000-0000-000013060000}"/>
    <cellStyle name="s158" xfId="134" xr:uid="{00000000-0005-0000-0000-000086000000}"/>
    <cellStyle name="s1580" xfId="1556" xr:uid="{00000000-0005-0000-0000-000014060000}"/>
    <cellStyle name="s1581" xfId="1557" xr:uid="{00000000-0005-0000-0000-000015060000}"/>
    <cellStyle name="s1582" xfId="1558" xr:uid="{00000000-0005-0000-0000-000016060000}"/>
    <cellStyle name="s1583" xfId="1559" xr:uid="{00000000-0005-0000-0000-000017060000}"/>
    <cellStyle name="s1584" xfId="1560" xr:uid="{00000000-0005-0000-0000-000018060000}"/>
    <cellStyle name="s1585" xfId="1561" xr:uid="{00000000-0005-0000-0000-000019060000}"/>
    <cellStyle name="s1586" xfId="1562" xr:uid="{00000000-0005-0000-0000-00001A060000}"/>
    <cellStyle name="s1587" xfId="1563" xr:uid="{00000000-0005-0000-0000-00001B060000}"/>
    <cellStyle name="s1588" xfId="1564" xr:uid="{00000000-0005-0000-0000-00001C060000}"/>
    <cellStyle name="s1589" xfId="1565" xr:uid="{00000000-0005-0000-0000-00001D060000}"/>
    <cellStyle name="s159" xfId="135" xr:uid="{00000000-0005-0000-0000-000087000000}"/>
    <cellStyle name="s1590" xfId="1566" xr:uid="{00000000-0005-0000-0000-00001E060000}"/>
    <cellStyle name="s1591" xfId="1567" xr:uid="{00000000-0005-0000-0000-00001F060000}"/>
    <cellStyle name="s1592" xfId="1568" xr:uid="{00000000-0005-0000-0000-000020060000}"/>
    <cellStyle name="s1593" xfId="1569" xr:uid="{00000000-0005-0000-0000-000021060000}"/>
    <cellStyle name="s1594" xfId="1570" xr:uid="{00000000-0005-0000-0000-000022060000}"/>
    <cellStyle name="s1595" xfId="1571" xr:uid="{00000000-0005-0000-0000-000023060000}"/>
    <cellStyle name="s1596" xfId="1572" xr:uid="{00000000-0005-0000-0000-000024060000}"/>
    <cellStyle name="s1597" xfId="1573" xr:uid="{00000000-0005-0000-0000-000025060000}"/>
    <cellStyle name="s1598" xfId="1574" xr:uid="{00000000-0005-0000-0000-000026060000}"/>
    <cellStyle name="s1599" xfId="1575" xr:uid="{00000000-0005-0000-0000-000027060000}"/>
    <cellStyle name="s16" xfId="6" xr:uid="{00000000-0005-0000-0000-000006000000}"/>
    <cellStyle name="s160" xfId="136" xr:uid="{00000000-0005-0000-0000-000088000000}"/>
    <cellStyle name="s1600" xfId="1576" xr:uid="{00000000-0005-0000-0000-000028060000}"/>
    <cellStyle name="s1601" xfId="1577" xr:uid="{00000000-0005-0000-0000-000029060000}"/>
    <cellStyle name="s1602" xfId="1578" xr:uid="{00000000-0005-0000-0000-00002A060000}"/>
    <cellStyle name="s1603" xfId="1579" xr:uid="{00000000-0005-0000-0000-00002B060000}"/>
    <cellStyle name="s1604" xfId="1580" xr:uid="{00000000-0005-0000-0000-00002C060000}"/>
    <cellStyle name="s1605" xfId="1581" xr:uid="{00000000-0005-0000-0000-00002D060000}"/>
    <cellStyle name="s1606" xfId="1582" xr:uid="{00000000-0005-0000-0000-00002E060000}"/>
    <cellStyle name="s1607" xfId="1583" xr:uid="{00000000-0005-0000-0000-00002F060000}"/>
    <cellStyle name="s1608" xfId="1584" xr:uid="{00000000-0005-0000-0000-000030060000}"/>
    <cellStyle name="s1609" xfId="1585" xr:uid="{00000000-0005-0000-0000-000031060000}"/>
    <cellStyle name="s161" xfId="137" xr:uid="{00000000-0005-0000-0000-000089000000}"/>
    <cellStyle name="s1610" xfId="1586" xr:uid="{00000000-0005-0000-0000-000032060000}"/>
    <cellStyle name="s1611" xfId="1587" xr:uid="{00000000-0005-0000-0000-000033060000}"/>
    <cellStyle name="s1612" xfId="1588" xr:uid="{00000000-0005-0000-0000-000034060000}"/>
    <cellStyle name="s1613" xfId="1589" xr:uid="{00000000-0005-0000-0000-000035060000}"/>
    <cellStyle name="s1614" xfId="1590" xr:uid="{00000000-0005-0000-0000-000036060000}"/>
    <cellStyle name="s1615" xfId="1591" xr:uid="{00000000-0005-0000-0000-000037060000}"/>
    <cellStyle name="s1616" xfId="1592" xr:uid="{00000000-0005-0000-0000-000038060000}"/>
    <cellStyle name="s1617" xfId="1593" xr:uid="{00000000-0005-0000-0000-000039060000}"/>
    <cellStyle name="s1618" xfId="1594" xr:uid="{00000000-0005-0000-0000-00003A060000}"/>
    <cellStyle name="s1619" xfId="1595" xr:uid="{00000000-0005-0000-0000-00003B060000}"/>
    <cellStyle name="s162" xfId="138" xr:uid="{00000000-0005-0000-0000-00008A000000}"/>
    <cellStyle name="s1620" xfId="1596" xr:uid="{00000000-0005-0000-0000-00003C060000}"/>
    <cellStyle name="s1621" xfId="1597" xr:uid="{00000000-0005-0000-0000-00003D060000}"/>
    <cellStyle name="s1622" xfId="1598" xr:uid="{00000000-0005-0000-0000-00003E060000}"/>
    <cellStyle name="s1623" xfId="1599" xr:uid="{00000000-0005-0000-0000-00003F060000}"/>
    <cellStyle name="s1624" xfId="1600" xr:uid="{00000000-0005-0000-0000-000040060000}"/>
    <cellStyle name="s1625" xfId="1601" xr:uid="{00000000-0005-0000-0000-000041060000}"/>
    <cellStyle name="s1626" xfId="1602" xr:uid="{00000000-0005-0000-0000-000042060000}"/>
    <cellStyle name="s1627" xfId="1603" xr:uid="{00000000-0005-0000-0000-000043060000}"/>
    <cellStyle name="s1628" xfId="1604" xr:uid="{00000000-0005-0000-0000-000044060000}"/>
    <cellStyle name="s1629" xfId="1605" xr:uid="{00000000-0005-0000-0000-000045060000}"/>
    <cellStyle name="s163" xfId="139" xr:uid="{00000000-0005-0000-0000-00008B000000}"/>
    <cellStyle name="s1630" xfId="1606" xr:uid="{00000000-0005-0000-0000-000046060000}"/>
    <cellStyle name="s1631" xfId="1607" xr:uid="{00000000-0005-0000-0000-000047060000}"/>
    <cellStyle name="s1632" xfId="1608" xr:uid="{00000000-0005-0000-0000-000048060000}"/>
    <cellStyle name="s1633" xfId="1609" xr:uid="{00000000-0005-0000-0000-000049060000}"/>
    <cellStyle name="s1634" xfId="1610" xr:uid="{00000000-0005-0000-0000-00004A060000}"/>
    <cellStyle name="s1635" xfId="1611" xr:uid="{00000000-0005-0000-0000-00004B060000}"/>
    <cellStyle name="s1636" xfId="1612" xr:uid="{00000000-0005-0000-0000-00004C060000}"/>
    <cellStyle name="s1637" xfId="1613" xr:uid="{00000000-0005-0000-0000-00004D060000}"/>
    <cellStyle name="s1638" xfId="1614" xr:uid="{00000000-0005-0000-0000-00004E060000}"/>
    <cellStyle name="s1639" xfId="1615" xr:uid="{00000000-0005-0000-0000-00004F060000}"/>
    <cellStyle name="s164" xfId="140" xr:uid="{00000000-0005-0000-0000-00008C000000}"/>
    <cellStyle name="s1640" xfId="1616" xr:uid="{00000000-0005-0000-0000-000050060000}"/>
    <cellStyle name="s1641" xfId="1617" xr:uid="{00000000-0005-0000-0000-000051060000}"/>
    <cellStyle name="s1642" xfId="1618" xr:uid="{00000000-0005-0000-0000-000052060000}"/>
    <cellStyle name="s1643" xfId="1619" xr:uid="{00000000-0005-0000-0000-000053060000}"/>
    <cellStyle name="s1644" xfId="1620" xr:uid="{00000000-0005-0000-0000-000054060000}"/>
    <cellStyle name="s1645" xfId="1621" xr:uid="{00000000-0005-0000-0000-000055060000}"/>
    <cellStyle name="s1646" xfId="1622" xr:uid="{00000000-0005-0000-0000-000056060000}"/>
    <cellStyle name="s1647" xfId="1623" xr:uid="{00000000-0005-0000-0000-000057060000}"/>
    <cellStyle name="s1648" xfId="1624" xr:uid="{00000000-0005-0000-0000-000058060000}"/>
    <cellStyle name="s1649" xfId="1625" xr:uid="{00000000-0005-0000-0000-000059060000}"/>
    <cellStyle name="s165" xfId="141" xr:uid="{00000000-0005-0000-0000-00008D000000}"/>
    <cellStyle name="s1650" xfId="1626" xr:uid="{00000000-0005-0000-0000-00005A060000}"/>
    <cellStyle name="s1651" xfId="1627" xr:uid="{00000000-0005-0000-0000-00005B060000}"/>
    <cellStyle name="s1652" xfId="1628" xr:uid="{00000000-0005-0000-0000-00005C060000}"/>
    <cellStyle name="s1653" xfId="1629" xr:uid="{00000000-0005-0000-0000-00005D060000}"/>
    <cellStyle name="s1654" xfId="1630" xr:uid="{00000000-0005-0000-0000-00005E060000}"/>
    <cellStyle name="s1655" xfId="1631" xr:uid="{00000000-0005-0000-0000-00005F060000}"/>
    <cellStyle name="s1656" xfId="1632" xr:uid="{00000000-0005-0000-0000-000060060000}"/>
    <cellStyle name="s1657" xfId="1633" xr:uid="{00000000-0005-0000-0000-000061060000}"/>
    <cellStyle name="s1658" xfId="1634" xr:uid="{00000000-0005-0000-0000-000062060000}"/>
    <cellStyle name="s1659" xfId="1635" xr:uid="{00000000-0005-0000-0000-000063060000}"/>
    <cellStyle name="s166" xfId="142" xr:uid="{00000000-0005-0000-0000-00008E000000}"/>
    <cellStyle name="s1660" xfId="1636" xr:uid="{00000000-0005-0000-0000-000064060000}"/>
    <cellStyle name="s1661" xfId="1637" xr:uid="{00000000-0005-0000-0000-000065060000}"/>
    <cellStyle name="s1662" xfId="1638" xr:uid="{00000000-0005-0000-0000-000066060000}"/>
    <cellStyle name="s1663" xfId="1639" xr:uid="{00000000-0005-0000-0000-000067060000}"/>
    <cellStyle name="s1664" xfId="1640" xr:uid="{00000000-0005-0000-0000-000068060000}"/>
    <cellStyle name="s1665" xfId="1641" xr:uid="{00000000-0005-0000-0000-000069060000}"/>
    <cellStyle name="s1666" xfId="1642" xr:uid="{00000000-0005-0000-0000-00006A060000}"/>
    <cellStyle name="s1667" xfId="1643" xr:uid="{00000000-0005-0000-0000-00006B060000}"/>
    <cellStyle name="s1668" xfId="1644" xr:uid="{00000000-0005-0000-0000-00006C060000}"/>
    <cellStyle name="s1669" xfId="1645" xr:uid="{00000000-0005-0000-0000-00006D060000}"/>
    <cellStyle name="s167" xfId="143" xr:uid="{00000000-0005-0000-0000-00008F000000}"/>
    <cellStyle name="s1670" xfId="1646" xr:uid="{00000000-0005-0000-0000-00006E060000}"/>
    <cellStyle name="s1671" xfId="1647" xr:uid="{00000000-0005-0000-0000-00006F060000}"/>
    <cellStyle name="s1672" xfId="1648" xr:uid="{00000000-0005-0000-0000-000070060000}"/>
    <cellStyle name="s1673" xfId="1649" xr:uid="{00000000-0005-0000-0000-000071060000}"/>
    <cellStyle name="s1674" xfId="1650" xr:uid="{00000000-0005-0000-0000-000072060000}"/>
    <cellStyle name="s1675" xfId="1651" xr:uid="{00000000-0005-0000-0000-000073060000}"/>
    <cellStyle name="s1676" xfId="1652" xr:uid="{00000000-0005-0000-0000-000074060000}"/>
    <cellStyle name="s1677" xfId="1653" xr:uid="{00000000-0005-0000-0000-000075060000}"/>
    <cellStyle name="s1678" xfId="1654" xr:uid="{00000000-0005-0000-0000-000076060000}"/>
    <cellStyle name="s1679" xfId="1655" xr:uid="{00000000-0005-0000-0000-000077060000}"/>
    <cellStyle name="s168" xfId="144" xr:uid="{00000000-0005-0000-0000-000090000000}"/>
    <cellStyle name="s1680" xfId="1656" xr:uid="{00000000-0005-0000-0000-000078060000}"/>
    <cellStyle name="s1681" xfId="1657" xr:uid="{00000000-0005-0000-0000-000079060000}"/>
    <cellStyle name="s1682" xfId="1658" xr:uid="{00000000-0005-0000-0000-00007A060000}"/>
    <cellStyle name="s1683" xfId="1659" xr:uid="{00000000-0005-0000-0000-00007B060000}"/>
    <cellStyle name="s1684" xfId="1660" xr:uid="{00000000-0005-0000-0000-00007C060000}"/>
    <cellStyle name="s1685" xfId="1661" xr:uid="{00000000-0005-0000-0000-00007D060000}"/>
    <cellStyle name="s1686" xfId="1662" xr:uid="{00000000-0005-0000-0000-00007E060000}"/>
    <cellStyle name="s1687" xfId="1663" xr:uid="{00000000-0005-0000-0000-00007F060000}"/>
    <cellStyle name="s1688" xfId="1664" xr:uid="{00000000-0005-0000-0000-000080060000}"/>
    <cellStyle name="s1689" xfId="1665" xr:uid="{00000000-0005-0000-0000-000081060000}"/>
    <cellStyle name="s169" xfId="145" xr:uid="{00000000-0005-0000-0000-000091000000}"/>
    <cellStyle name="s1690" xfId="1666" xr:uid="{00000000-0005-0000-0000-000082060000}"/>
    <cellStyle name="s1691" xfId="1667" xr:uid="{00000000-0005-0000-0000-000083060000}"/>
    <cellStyle name="s1692" xfId="1668" xr:uid="{00000000-0005-0000-0000-000084060000}"/>
    <cellStyle name="s1693" xfId="1669" xr:uid="{00000000-0005-0000-0000-000085060000}"/>
    <cellStyle name="s1694" xfId="1670" xr:uid="{00000000-0005-0000-0000-000086060000}"/>
    <cellStyle name="s1695" xfId="1671" xr:uid="{00000000-0005-0000-0000-000087060000}"/>
    <cellStyle name="s1696" xfId="1672" xr:uid="{00000000-0005-0000-0000-000088060000}"/>
    <cellStyle name="s1697" xfId="1673" xr:uid="{00000000-0005-0000-0000-000089060000}"/>
    <cellStyle name="s1698" xfId="1674" xr:uid="{00000000-0005-0000-0000-00008A060000}"/>
    <cellStyle name="s1699" xfId="1675" xr:uid="{00000000-0005-0000-0000-00008B060000}"/>
    <cellStyle name="s17" xfId="7" xr:uid="{00000000-0005-0000-0000-000007000000}"/>
    <cellStyle name="s170" xfId="146" xr:uid="{00000000-0005-0000-0000-000092000000}"/>
    <cellStyle name="s1700" xfId="1676" xr:uid="{00000000-0005-0000-0000-00008C060000}"/>
    <cellStyle name="s1701" xfId="1677" xr:uid="{00000000-0005-0000-0000-00008D060000}"/>
    <cellStyle name="s1702" xfId="1678" xr:uid="{00000000-0005-0000-0000-00008E060000}"/>
    <cellStyle name="s1703" xfId="1679" xr:uid="{00000000-0005-0000-0000-00008F060000}"/>
    <cellStyle name="s1704" xfId="1680" xr:uid="{00000000-0005-0000-0000-000090060000}"/>
    <cellStyle name="s1705" xfId="1681" xr:uid="{00000000-0005-0000-0000-000091060000}"/>
    <cellStyle name="s1706" xfId="1682" xr:uid="{00000000-0005-0000-0000-000092060000}"/>
    <cellStyle name="s1707" xfId="1683" xr:uid="{00000000-0005-0000-0000-000093060000}"/>
    <cellStyle name="s1708" xfId="1684" xr:uid="{00000000-0005-0000-0000-000094060000}"/>
    <cellStyle name="s1709" xfId="1685" xr:uid="{00000000-0005-0000-0000-000095060000}"/>
    <cellStyle name="s171" xfId="147" xr:uid="{00000000-0005-0000-0000-000093000000}"/>
    <cellStyle name="s1710" xfId="1686" xr:uid="{00000000-0005-0000-0000-000096060000}"/>
    <cellStyle name="s1711" xfId="1687" xr:uid="{00000000-0005-0000-0000-000097060000}"/>
    <cellStyle name="s1712" xfId="1688" xr:uid="{00000000-0005-0000-0000-000098060000}"/>
    <cellStyle name="s1713" xfId="1689" xr:uid="{00000000-0005-0000-0000-000099060000}"/>
    <cellStyle name="s1714" xfId="1690" xr:uid="{00000000-0005-0000-0000-00009A060000}"/>
    <cellStyle name="s1715" xfId="1691" xr:uid="{00000000-0005-0000-0000-00009B060000}"/>
    <cellStyle name="s1716" xfId="1692" xr:uid="{00000000-0005-0000-0000-00009C060000}"/>
    <cellStyle name="s1717" xfId="1693" xr:uid="{00000000-0005-0000-0000-00009D060000}"/>
    <cellStyle name="s1718" xfId="1694" xr:uid="{00000000-0005-0000-0000-00009E060000}"/>
    <cellStyle name="s1719" xfId="1695" xr:uid="{00000000-0005-0000-0000-00009F060000}"/>
    <cellStyle name="s172" xfId="148" xr:uid="{00000000-0005-0000-0000-000094000000}"/>
    <cellStyle name="s1720" xfId="1696" xr:uid="{00000000-0005-0000-0000-0000A0060000}"/>
    <cellStyle name="s1721" xfId="1697" xr:uid="{00000000-0005-0000-0000-0000A1060000}"/>
    <cellStyle name="s1722" xfId="1698" xr:uid="{00000000-0005-0000-0000-0000A2060000}"/>
    <cellStyle name="s1723" xfId="1699" xr:uid="{00000000-0005-0000-0000-0000A3060000}"/>
    <cellStyle name="s1724" xfId="1700" xr:uid="{00000000-0005-0000-0000-0000A4060000}"/>
    <cellStyle name="s1725" xfId="1701" xr:uid="{00000000-0005-0000-0000-0000A5060000}"/>
    <cellStyle name="s1726" xfId="1702" xr:uid="{00000000-0005-0000-0000-0000A6060000}"/>
    <cellStyle name="s1727" xfId="1703" xr:uid="{00000000-0005-0000-0000-0000A7060000}"/>
    <cellStyle name="s1728" xfId="1704" xr:uid="{00000000-0005-0000-0000-0000A8060000}"/>
    <cellStyle name="s1729" xfId="1705" xr:uid="{00000000-0005-0000-0000-0000A9060000}"/>
    <cellStyle name="s173" xfId="149" xr:uid="{00000000-0005-0000-0000-000095000000}"/>
    <cellStyle name="s1730" xfId="1706" xr:uid="{00000000-0005-0000-0000-0000AA060000}"/>
    <cellStyle name="s1731" xfId="1707" xr:uid="{00000000-0005-0000-0000-0000AB060000}"/>
    <cellStyle name="s1732" xfId="1708" xr:uid="{00000000-0005-0000-0000-0000AC060000}"/>
    <cellStyle name="s1733" xfId="1709" xr:uid="{00000000-0005-0000-0000-0000AD060000}"/>
    <cellStyle name="s1734" xfId="1710" xr:uid="{00000000-0005-0000-0000-0000AE060000}"/>
    <cellStyle name="s1735" xfId="1711" xr:uid="{00000000-0005-0000-0000-0000AF060000}"/>
    <cellStyle name="s1736" xfId="1712" xr:uid="{00000000-0005-0000-0000-0000B0060000}"/>
    <cellStyle name="s1737" xfId="1713" xr:uid="{00000000-0005-0000-0000-0000B1060000}"/>
    <cellStyle name="s1738" xfId="1714" xr:uid="{00000000-0005-0000-0000-0000B2060000}"/>
    <cellStyle name="s1739" xfId="1715" xr:uid="{00000000-0005-0000-0000-0000B3060000}"/>
    <cellStyle name="s174" xfId="150" xr:uid="{00000000-0005-0000-0000-000096000000}"/>
    <cellStyle name="s1740" xfId="1716" xr:uid="{00000000-0005-0000-0000-0000B4060000}"/>
    <cellStyle name="s1741" xfId="1717" xr:uid="{00000000-0005-0000-0000-0000B5060000}"/>
    <cellStyle name="s1742" xfId="1718" xr:uid="{00000000-0005-0000-0000-0000B6060000}"/>
    <cellStyle name="s1743" xfId="1719" xr:uid="{00000000-0005-0000-0000-0000B7060000}"/>
    <cellStyle name="s1744" xfId="1720" xr:uid="{00000000-0005-0000-0000-0000B8060000}"/>
    <cellStyle name="s1745" xfId="1721" xr:uid="{00000000-0005-0000-0000-0000B9060000}"/>
    <cellStyle name="s1746" xfId="1722" xr:uid="{00000000-0005-0000-0000-0000BA060000}"/>
    <cellStyle name="s1747" xfId="1723" xr:uid="{00000000-0005-0000-0000-0000BB060000}"/>
    <cellStyle name="s1748" xfId="1724" xr:uid="{00000000-0005-0000-0000-0000BC060000}"/>
    <cellStyle name="s1749" xfId="1725" xr:uid="{00000000-0005-0000-0000-0000BD060000}"/>
    <cellStyle name="s175" xfId="151" xr:uid="{00000000-0005-0000-0000-000097000000}"/>
    <cellStyle name="s1750" xfId="1726" xr:uid="{00000000-0005-0000-0000-0000BE060000}"/>
    <cellStyle name="s1751" xfId="1727" xr:uid="{00000000-0005-0000-0000-0000BF060000}"/>
    <cellStyle name="s1752" xfId="1728" xr:uid="{00000000-0005-0000-0000-0000C0060000}"/>
    <cellStyle name="s1753" xfId="1729" xr:uid="{00000000-0005-0000-0000-0000C1060000}"/>
    <cellStyle name="s1754" xfId="1730" xr:uid="{00000000-0005-0000-0000-0000C2060000}"/>
    <cellStyle name="s1755" xfId="1731" xr:uid="{00000000-0005-0000-0000-0000C3060000}"/>
    <cellStyle name="s1756" xfId="1732" xr:uid="{00000000-0005-0000-0000-0000C4060000}"/>
    <cellStyle name="s1757" xfId="1733" xr:uid="{00000000-0005-0000-0000-0000C5060000}"/>
    <cellStyle name="s1758" xfId="1734" xr:uid="{00000000-0005-0000-0000-0000C6060000}"/>
    <cellStyle name="s1759" xfId="1735" xr:uid="{00000000-0005-0000-0000-0000C7060000}"/>
    <cellStyle name="s176" xfId="152" xr:uid="{00000000-0005-0000-0000-000098000000}"/>
    <cellStyle name="s1760" xfId="1736" xr:uid="{00000000-0005-0000-0000-0000C8060000}"/>
    <cellStyle name="s1761" xfId="1737" xr:uid="{00000000-0005-0000-0000-0000C9060000}"/>
    <cellStyle name="s1762" xfId="1738" xr:uid="{00000000-0005-0000-0000-0000CA060000}"/>
    <cellStyle name="s1763" xfId="1739" xr:uid="{00000000-0005-0000-0000-0000CB060000}"/>
    <cellStyle name="s1764" xfId="1740" xr:uid="{00000000-0005-0000-0000-0000CC060000}"/>
    <cellStyle name="s1765" xfId="1741" xr:uid="{00000000-0005-0000-0000-0000CD060000}"/>
    <cellStyle name="s1766" xfId="1742" xr:uid="{00000000-0005-0000-0000-0000CE060000}"/>
    <cellStyle name="s1767" xfId="1743" xr:uid="{00000000-0005-0000-0000-0000CF060000}"/>
    <cellStyle name="s1768" xfId="1744" xr:uid="{00000000-0005-0000-0000-0000D0060000}"/>
    <cellStyle name="s1769" xfId="1745" xr:uid="{00000000-0005-0000-0000-0000D1060000}"/>
    <cellStyle name="s177" xfId="153" xr:uid="{00000000-0005-0000-0000-000099000000}"/>
    <cellStyle name="s1770" xfId="1746" xr:uid="{00000000-0005-0000-0000-0000D2060000}"/>
    <cellStyle name="s1771" xfId="1747" xr:uid="{00000000-0005-0000-0000-0000D3060000}"/>
    <cellStyle name="s1772" xfId="1748" xr:uid="{00000000-0005-0000-0000-0000D4060000}"/>
    <cellStyle name="s1773" xfId="1749" xr:uid="{00000000-0005-0000-0000-0000D5060000}"/>
    <cellStyle name="s1774" xfId="1750" xr:uid="{00000000-0005-0000-0000-0000D6060000}"/>
    <cellStyle name="s1775" xfId="1751" xr:uid="{00000000-0005-0000-0000-0000D7060000}"/>
    <cellStyle name="s1776" xfId="1752" xr:uid="{00000000-0005-0000-0000-0000D8060000}"/>
    <cellStyle name="s1777" xfId="1753" xr:uid="{00000000-0005-0000-0000-0000D9060000}"/>
    <cellStyle name="s1778" xfId="1754" xr:uid="{00000000-0005-0000-0000-0000DA060000}"/>
    <cellStyle name="s1779" xfId="1755" xr:uid="{00000000-0005-0000-0000-0000DB060000}"/>
    <cellStyle name="s178" xfId="154" xr:uid="{00000000-0005-0000-0000-00009A000000}"/>
    <cellStyle name="s1780" xfId="1756" xr:uid="{00000000-0005-0000-0000-0000DC060000}"/>
    <cellStyle name="s1781" xfId="1757" xr:uid="{00000000-0005-0000-0000-0000DD060000}"/>
    <cellStyle name="s1782" xfId="1758" xr:uid="{00000000-0005-0000-0000-0000DE060000}"/>
    <cellStyle name="s1783" xfId="1759" xr:uid="{00000000-0005-0000-0000-0000DF060000}"/>
    <cellStyle name="s1784" xfId="1760" xr:uid="{00000000-0005-0000-0000-0000E0060000}"/>
    <cellStyle name="s1785" xfId="1761" xr:uid="{00000000-0005-0000-0000-0000E1060000}"/>
    <cellStyle name="s1786" xfId="1762" xr:uid="{00000000-0005-0000-0000-0000E2060000}"/>
    <cellStyle name="s1787" xfId="1763" xr:uid="{00000000-0005-0000-0000-0000E3060000}"/>
    <cellStyle name="s1788" xfId="1764" xr:uid="{00000000-0005-0000-0000-0000E4060000}"/>
    <cellStyle name="s1789" xfId="1765" xr:uid="{00000000-0005-0000-0000-0000E5060000}"/>
    <cellStyle name="s179" xfId="155" xr:uid="{00000000-0005-0000-0000-00009B000000}"/>
    <cellStyle name="s1790" xfId="1766" xr:uid="{00000000-0005-0000-0000-0000E6060000}"/>
    <cellStyle name="s1791" xfId="1767" xr:uid="{00000000-0005-0000-0000-0000E7060000}"/>
    <cellStyle name="s1792" xfId="1768" xr:uid="{00000000-0005-0000-0000-0000E8060000}"/>
    <cellStyle name="s1793" xfId="1769" xr:uid="{00000000-0005-0000-0000-0000E9060000}"/>
    <cellStyle name="s1794" xfId="1770" xr:uid="{00000000-0005-0000-0000-0000EA060000}"/>
    <cellStyle name="s1795" xfId="1771" xr:uid="{00000000-0005-0000-0000-0000EB060000}"/>
    <cellStyle name="s1796" xfId="1772" xr:uid="{00000000-0005-0000-0000-0000EC060000}"/>
    <cellStyle name="s1797" xfId="1773" xr:uid="{00000000-0005-0000-0000-0000ED060000}"/>
    <cellStyle name="s1798" xfId="1774" xr:uid="{00000000-0005-0000-0000-0000EE060000}"/>
    <cellStyle name="s1799" xfId="1775" xr:uid="{00000000-0005-0000-0000-0000EF060000}"/>
    <cellStyle name="s18" xfId="8" xr:uid="{00000000-0005-0000-0000-000008000000}"/>
    <cellStyle name="s180" xfId="156" xr:uid="{00000000-0005-0000-0000-00009C000000}"/>
    <cellStyle name="s1800" xfId="1776" xr:uid="{00000000-0005-0000-0000-0000F0060000}"/>
    <cellStyle name="s1801" xfId="1777" xr:uid="{00000000-0005-0000-0000-0000F1060000}"/>
    <cellStyle name="s1802" xfId="1778" xr:uid="{00000000-0005-0000-0000-0000F2060000}"/>
    <cellStyle name="s1803" xfId="1779" xr:uid="{00000000-0005-0000-0000-0000F3060000}"/>
    <cellStyle name="s1804" xfId="1780" xr:uid="{00000000-0005-0000-0000-0000F4060000}"/>
    <cellStyle name="s1805" xfId="1781" xr:uid="{00000000-0005-0000-0000-0000F5060000}"/>
    <cellStyle name="s1806" xfId="1782" xr:uid="{00000000-0005-0000-0000-0000F6060000}"/>
    <cellStyle name="s1807" xfId="1783" xr:uid="{00000000-0005-0000-0000-0000F7060000}"/>
    <cellStyle name="s1808" xfId="1784" xr:uid="{00000000-0005-0000-0000-0000F8060000}"/>
    <cellStyle name="s1809" xfId="1785" xr:uid="{00000000-0005-0000-0000-0000F9060000}"/>
    <cellStyle name="s181" xfId="157" xr:uid="{00000000-0005-0000-0000-00009D000000}"/>
    <cellStyle name="s1810" xfId="1786" xr:uid="{00000000-0005-0000-0000-0000FA060000}"/>
    <cellStyle name="s1811" xfId="1787" xr:uid="{00000000-0005-0000-0000-0000FB060000}"/>
    <cellStyle name="s1812" xfId="1788" xr:uid="{00000000-0005-0000-0000-0000FC060000}"/>
    <cellStyle name="s1813" xfId="1789" xr:uid="{00000000-0005-0000-0000-0000FD060000}"/>
    <cellStyle name="s1814" xfId="1790" xr:uid="{00000000-0005-0000-0000-0000FE060000}"/>
    <cellStyle name="s1815" xfId="1791" xr:uid="{00000000-0005-0000-0000-0000FF060000}"/>
    <cellStyle name="s1816" xfId="1792" xr:uid="{00000000-0005-0000-0000-000000070000}"/>
    <cellStyle name="s1817" xfId="1793" xr:uid="{00000000-0005-0000-0000-000001070000}"/>
    <cellStyle name="s1818" xfId="1794" xr:uid="{00000000-0005-0000-0000-000002070000}"/>
    <cellStyle name="s1819" xfId="1795" xr:uid="{00000000-0005-0000-0000-000003070000}"/>
    <cellStyle name="s182" xfId="158" xr:uid="{00000000-0005-0000-0000-00009E000000}"/>
    <cellStyle name="s1820" xfId="1796" xr:uid="{00000000-0005-0000-0000-000004070000}"/>
    <cellStyle name="s1821" xfId="1797" xr:uid="{00000000-0005-0000-0000-000005070000}"/>
    <cellStyle name="s1822" xfId="1798" xr:uid="{00000000-0005-0000-0000-000006070000}"/>
    <cellStyle name="s1823" xfId="1799" xr:uid="{00000000-0005-0000-0000-000007070000}"/>
    <cellStyle name="s1824" xfId="1800" xr:uid="{00000000-0005-0000-0000-000008070000}"/>
    <cellStyle name="s1825" xfId="1801" xr:uid="{00000000-0005-0000-0000-000009070000}"/>
    <cellStyle name="s1826" xfId="1802" xr:uid="{00000000-0005-0000-0000-00000A070000}"/>
    <cellStyle name="s1827" xfId="1803" xr:uid="{00000000-0005-0000-0000-00000B070000}"/>
    <cellStyle name="s1828" xfId="1804" xr:uid="{00000000-0005-0000-0000-00000C070000}"/>
    <cellStyle name="s1829" xfId="1805" xr:uid="{00000000-0005-0000-0000-00000D070000}"/>
    <cellStyle name="s183" xfId="159" xr:uid="{00000000-0005-0000-0000-00009F000000}"/>
    <cellStyle name="s1830" xfId="1806" xr:uid="{00000000-0005-0000-0000-00000E070000}"/>
    <cellStyle name="s1831" xfId="1807" xr:uid="{00000000-0005-0000-0000-00000F070000}"/>
    <cellStyle name="s1832" xfId="1808" xr:uid="{00000000-0005-0000-0000-000010070000}"/>
    <cellStyle name="s1833" xfId="1809" xr:uid="{00000000-0005-0000-0000-000011070000}"/>
    <cellStyle name="s1834" xfId="1810" xr:uid="{00000000-0005-0000-0000-000012070000}"/>
    <cellStyle name="s1835" xfId="1811" xr:uid="{00000000-0005-0000-0000-000013070000}"/>
    <cellStyle name="s1836" xfId="1812" xr:uid="{00000000-0005-0000-0000-000014070000}"/>
    <cellStyle name="s1837" xfId="1813" xr:uid="{00000000-0005-0000-0000-000015070000}"/>
    <cellStyle name="s1838" xfId="1814" xr:uid="{00000000-0005-0000-0000-000016070000}"/>
    <cellStyle name="s1839" xfId="1815" xr:uid="{00000000-0005-0000-0000-000017070000}"/>
    <cellStyle name="s184" xfId="160" xr:uid="{00000000-0005-0000-0000-0000A0000000}"/>
    <cellStyle name="s1840" xfId="1816" xr:uid="{00000000-0005-0000-0000-000018070000}"/>
    <cellStyle name="s1841" xfId="1817" xr:uid="{00000000-0005-0000-0000-000019070000}"/>
    <cellStyle name="s1842" xfId="1818" xr:uid="{00000000-0005-0000-0000-00001A070000}"/>
    <cellStyle name="s1843" xfId="1819" xr:uid="{00000000-0005-0000-0000-00001B070000}"/>
    <cellStyle name="s1844" xfId="1820" xr:uid="{00000000-0005-0000-0000-00001C070000}"/>
    <cellStyle name="s1845" xfId="1821" xr:uid="{00000000-0005-0000-0000-00001D070000}"/>
    <cellStyle name="s1846" xfId="1822" xr:uid="{00000000-0005-0000-0000-00001E070000}"/>
    <cellStyle name="s1847" xfId="1823" xr:uid="{00000000-0005-0000-0000-00001F070000}"/>
    <cellStyle name="s1848" xfId="1824" xr:uid="{00000000-0005-0000-0000-000020070000}"/>
    <cellStyle name="s1849" xfId="1825" xr:uid="{00000000-0005-0000-0000-000021070000}"/>
    <cellStyle name="s185" xfId="161" xr:uid="{00000000-0005-0000-0000-0000A1000000}"/>
    <cellStyle name="s1850" xfId="1826" xr:uid="{00000000-0005-0000-0000-000022070000}"/>
    <cellStyle name="s1851" xfId="1827" xr:uid="{00000000-0005-0000-0000-000023070000}"/>
    <cellStyle name="s1852" xfId="1828" xr:uid="{00000000-0005-0000-0000-000024070000}"/>
    <cellStyle name="s1853" xfId="1829" xr:uid="{00000000-0005-0000-0000-000025070000}"/>
    <cellStyle name="s1854" xfId="1830" xr:uid="{00000000-0005-0000-0000-000026070000}"/>
    <cellStyle name="s1855" xfId="1831" xr:uid="{00000000-0005-0000-0000-000027070000}"/>
    <cellStyle name="s1856" xfId="1832" xr:uid="{00000000-0005-0000-0000-000028070000}"/>
    <cellStyle name="s1857" xfId="1833" xr:uid="{00000000-0005-0000-0000-000029070000}"/>
    <cellStyle name="s1858" xfId="1834" xr:uid="{00000000-0005-0000-0000-00002A070000}"/>
    <cellStyle name="s1859" xfId="1835" xr:uid="{00000000-0005-0000-0000-00002B070000}"/>
    <cellStyle name="s186" xfId="162" xr:uid="{00000000-0005-0000-0000-0000A2000000}"/>
    <cellStyle name="s1860" xfId="1836" xr:uid="{00000000-0005-0000-0000-00002C070000}"/>
    <cellStyle name="s1861" xfId="1837" xr:uid="{00000000-0005-0000-0000-00002D070000}"/>
    <cellStyle name="s1862" xfId="1838" xr:uid="{00000000-0005-0000-0000-00002E070000}"/>
    <cellStyle name="s1863" xfId="1839" xr:uid="{00000000-0005-0000-0000-00002F070000}"/>
    <cellStyle name="s1864" xfId="1840" xr:uid="{00000000-0005-0000-0000-000030070000}"/>
    <cellStyle name="s1865" xfId="1841" xr:uid="{00000000-0005-0000-0000-000031070000}"/>
    <cellStyle name="s1866" xfId="1842" xr:uid="{00000000-0005-0000-0000-000032070000}"/>
    <cellStyle name="s1867" xfId="1843" xr:uid="{00000000-0005-0000-0000-000033070000}"/>
    <cellStyle name="s1868" xfId="1844" xr:uid="{00000000-0005-0000-0000-000034070000}"/>
    <cellStyle name="s1869" xfId="1845" xr:uid="{00000000-0005-0000-0000-000035070000}"/>
    <cellStyle name="s187" xfId="163" xr:uid="{00000000-0005-0000-0000-0000A3000000}"/>
    <cellStyle name="s1870" xfId="1846" xr:uid="{00000000-0005-0000-0000-000036070000}"/>
    <cellStyle name="s1871" xfId="1847" xr:uid="{00000000-0005-0000-0000-000037070000}"/>
    <cellStyle name="s1872" xfId="1848" xr:uid="{00000000-0005-0000-0000-000038070000}"/>
    <cellStyle name="s1873" xfId="1849" xr:uid="{00000000-0005-0000-0000-000039070000}"/>
    <cellStyle name="s1874" xfId="1850" xr:uid="{00000000-0005-0000-0000-00003A070000}"/>
    <cellStyle name="s1875" xfId="1851" xr:uid="{00000000-0005-0000-0000-00003B070000}"/>
    <cellStyle name="s1876" xfId="1852" xr:uid="{00000000-0005-0000-0000-00003C070000}"/>
    <cellStyle name="s1877" xfId="1853" xr:uid="{00000000-0005-0000-0000-00003D070000}"/>
    <cellStyle name="s1878" xfId="1854" xr:uid="{00000000-0005-0000-0000-00003E070000}"/>
    <cellStyle name="s1879" xfId="1855" xr:uid="{00000000-0005-0000-0000-00003F070000}"/>
    <cellStyle name="s188" xfId="164" xr:uid="{00000000-0005-0000-0000-0000A4000000}"/>
    <cellStyle name="s1880" xfId="1856" xr:uid="{00000000-0005-0000-0000-000040070000}"/>
    <cellStyle name="s1881" xfId="1857" xr:uid="{00000000-0005-0000-0000-000041070000}"/>
    <cellStyle name="s1882" xfId="1858" xr:uid="{00000000-0005-0000-0000-000042070000}"/>
    <cellStyle name="s1883" xfId="1859" xr:uid="{00000000-0005-0000-0000-000043070000}"/>
    <cellStyle name="s1884" xfId="1860" xr:uid="{00000000-0005-0000-0000-000044070000}"/>
    <cellStyle name="s1885" xfId="1861" xr:uid="{00000000-0005-0000-0000-000045070000}"/>
    <cellStyle name="s1886" xfId="1862" xr:uid="{00000000-0005-0000-0000-000046070000}"/>
    <cellStyle name="s1887" xfId="1863" xr:uid="{00000000-0005-0000-0000-000047070000}"/>
    <cellStyle name="s1888" xfId="1864" xr:uid="{00000000-0005-0000-0000-000048070000}"/>
    <cellStyle name="s1889" xfId="1865" xr:uid="{00000000-0005-0000-0000-000049070000}"/>
    <cellStyle name="s189" xfId="165" xr:uid="{00000000-0005-0000-0000-0000A5000000}"/>
    <cellStyle name="s1890" xfId="1866" xr:uid="{00000000-0005-0000-0000-00004A070000}"/>
    <cellStyle name="s1891" xfId="1867" xr:uid="{00000000-0005-0000-0000-00004B070000}"/>
    <cellStyle name="s1892" xfId="1868" xr:uid="{00000000-0005-0000-0000-00004C070000}"/>
    <cellStyle name="s1893" xfId="1869" xr:uid="{00000000-0005-0000-0000-00004D070000}"/>
    <cellStyle name="s1894" xfId="1870" xr:uid="{00000000-0005-0000-0000-00004E070000}"/>
    <cellStyle name="s1895" xfId="1871" xr:uid="{00000000-0005-0000-0000-00004F070000}"/>
    <cellStyle name="s1896" xfId="1872" xr:uid="{00000000-0005-0000-0000-000050070000}"/>
    <cellStyle name="s1897" xfId="1873" xr:uid="{00000000-0005-0000-0000-000051070000}"/>
    <cellStyle name="s1898" xfId="1874" xr:uid="{00000000-0005-0000-0000-000052070000}"/>
    <cellStyle name="s1899" xfId="1875" xr:uid="{00000000-0005-0000-0000-000053070000}"/>
    <cellStyle name="s19" xfId="9" xr:uid="{00000000-0005-0000-0000-000009000000}"/>
    <cellStyle name="s190" xfId="166" xr:uid="{00000000-0005-0000-0000-0000A6000000}"/>
    <cellStyle name="s1900" xfId="1876" xr:uid="{00000000-0005-0000-0000-000054070000}"/>
    <cellStyle name="s1901" xfId="1877" xr:uid="{00000000-0005-0000-0000-000055070000}"/>
    <cellStyle name="s1902" xfId="1878" xr:uid="{00000000-0005-0000-0000-000056070000}"/>
    <cellStyle name="s1903" xfId="1879" xr:uid="{00000000-0005-0000-0000-000057070000}"/>
    <cellStyle name="s1904" xfId="1880" xr:uid="{00000000-0005-0000-0000-000058070000}"/>
    <cellStyle name="s1905" xfId="1881" xr:uid="{00000000-0005-0000-0000-000059070000}"/>
    <cellStyle name="s1906" xfId="1882" xr:uid="{00000000-0005-0000-0000-00005A070000}"/>
    <cellStyle name="s1907" xfId="1883" xr:uid="{00000000-0005-0000-0000-00005B070000}"/>
    <cellStyle name="s1908" xfId="1884" xr:uid="{00000000-0005-0000-0000-00005C070000}"/>
    <cellStyle name="s1909" xfId="1885" xr:uid="{00000000-0005-0000-0000-00005D070000}"/>
    <cellStyle name="s191" xfId="167" xr:uid="{00000000-0005-0000-0000-0000A7000000}"/>
    <cellStyle name="s1910" xfId="1886" xr:uid="{00000000-0005-0000-0000-00005E070000}"/>
    <cellStyle name="s1911" xfId="1887" xr:uid="{00000000-0005-0000-0000-00005F070000}"/>
    <cellStyle name="s1912" xfId="1888" xr:uid="{00000000-0005-0000-0000-000060070000}"/>
    <cellStyle name="s1913" xfId="1889" xr:uid="{00000000-0005-0000-0000-000061070000}"/>
    <cellStyle name="s1914" xfId="1890" xr:uid="{00000000-0005-0000-0000-000062070000}"/>
    <cellStyle name="s1915" xfId="1891" xr:uid="{00000000-0005-0000-0000-000063070000}"/>
    <cellStyle name="s1916" xfId="1892" xr:uid="{00000000-0005-0000-0000-000064070000}"/>
    <cellStyle name="s1917" xfId="1893" xr:uid="{00000000-0005-0000-0000-000065070000}"/>
    <cellStyle name="s1918" xfId="1894" xr:uid="{00000000-0005-0000-0000-000066070000}"/>
    <cellStyle name="s1919" xfId="1895" xr:uid="{00000000-0005-0000-0000-000067070000}"/>
    <cellStyle name="s192" xfId="168" xr:uid="{00000000-0005-0000-0000-0000A8000000}"/>
    <cellStyle name="s1920" xfId="1896" xr:uid="{00000000-0005-0000-0000-000068070000}"/>
    <cellStyle name="s1921" xfId="1897" xr:uid="{00000000-0005-0000-0000-000069070000}"/>
    <cellStyle name="s1922" xfId="1898" xr:uid="{00000000-0005-0000-0000-00006A070000}"/>
    <cellStyle name="s1923" xfId="1899" xr:uid="{00000000-0005-0000-0000-00006B070000}"/>
    <cellStyle name="s1924" xfId="1900" xr:uid="{00000000-0005-0000-0000-00006C070000}"/>
    <cellStyle name="s1925" xfId="1901" xr:uid="{00000000-0005-0000-0000-00006D070000}"/>
    <cellStyle name="s1926" xfId="1902" xr:uid="{00000000-0005-0000-0000-00006E070000}"/>
    <cellStyle name="s1927" xfId="1903" xr:uid="{00000000-0005-0000-0000-00006F070000}"/>
    <cellStyle name="s1928" xfId="1904" xr:uid="{00000000-0005-0000-0000-000070070000}"/>
    <cellStyle name="s1929" xfId="1905" xr:uid="{00000000-0005-0000-0000-000071070000}"/>
    <cellStyle name="s193" xfId="169" xr:uid="{00000000-0005-0000-0000-0000A9000000}"/>
    <cellStyle name="s1930" xfId="1906" xr:uid="{00000000-0005-0000-0000-000072070000}"/>
    <cellStyle name="s1931" xfId="1907" xr:uid="{00000000-0005-0000-0000-000073070000}"/>
    <cellStyle name="s1932" xfId="1908" xr:uid="{00000000-0005-0000-0000-000074070000}"/>
    <cellStyle name="s1933" xfId="1909" xr:uid="{00000000-0005-0000-0000-000075070000}"/>
    <cellStyle name="s1934" xfId="1910" xr:uid="{00000000-0005-0000-0000-000076070000}"/>
    <cellStyle name="s1935" xfId="1911" xr:uid="{00000000-0005-0000-0000-000077070000}"/>
    <cellStyle name="s1936" xfId="1912" xr:uid="{00000000-0005-0000-0000-000078070000}"/>
    <cellStyle name="s1937" xfId="1913" xr:uid="{00000000-0005-0000-0000-000079070000}"/>
    <cellStyle name="s1938" xfId="1914" xr:uid="{00000000-0005-0000-0000-00007A070000}"/>
    <cellStyle name="s1939" xfId="1915" xr:uid="{00000000-0005-0000-0000-00007B070000}"/>
    <cellStyle name="s194" xfId="170" xr:uid="{00000000-0005-0000-0000-0000AA000000}"/>
    <cellStyle name="s1940" xfId="1916" xr:uid="{00000000-0005-0000-0000-00007C070000}"/>
    <cellStyle name="s1941" xfId="1917" xr:uid="{00000000-0005-0000-0000-00007D070000}"/>
    <cellStyle name="s1942" xfId="1918" xr:uid="{00000000-0005-0000-0000-00007E070000}"/>
    <cellStyle name="s1943" xfId="1919" xr:uid="{00000000-0005-0000-0000-00007F070000}"/>
    <cellStyle name="s1944" xfId="1920" xr:uid="{00000000-0005-0000-0000-000080070000}"/>
    <cellStyle name="s1945" xfId="1921" xr:uid="{00000000-0005-0000-0000-000081070000}"/>
    <cellStyle name="s1946" xfId="1922" xr:uid="{00000000-0005-0000-0000-000082070000}"/>
    <cellStyle name="s1947" xfId="1923" xr:uid="{00000000-0005-0000-0000-000083070000}"/>
    <cellStyle name="s1948" xfId="1924" xr:uid="{00000000-0005-0000-0000-000084070000}"/>
    <cellStyle name="s1949" xfId="1925" xr:uid="{00000000-0005-0000-0000-000085070000}"/>
    <cellStyle name="s195" xfId="171" xr:uid="{00000000-0005-0000-0000-0000AB000000}"/>
    <cellStyle name="s1950" xfId="1926" xr:uid="{00000000-0005-0000-0000-000086070000}"/>
    <cellStyle name="s1951" xfId="1927" xr:uid="{00000000-0005-0000-0000-000087070000}"/>
    <cellStyle name="s1952" xfId="1928" xr:uid="{00000000-0005-0000-0000-000088070000}"/>
    <cellStyle name="s1953" xfId="1929" xr:uid="{00000000-0005-0000-0000-000089070000}"/>
    <cellStyle name="s1954" xfId="1930" xr:uid="{00000000-0005-0000-0000-00008A070000}"/>
    <cellStyle name="s1955" xfId="1931" xr:uid="{00000000-0005-0000-0000-00008B070000}"/>
    <cellStyle name="s1956" xfId="1932" xr:uid="{00000000-0005-0000-0000-00008C070000}"/>
    <cellStyle name="s1957" xfId="1933" xr:uid="{00000000-0005-0000-0000-00008D070000}"/>
    <cellStyle name="s1958" xfId="1934" xr:uid="{00000000-0005-0000-0000-00008E070000}"/>
    <cellStyle name="s1959" xfId="1935" xr:uid="{00000000-0005-0000-0000-00008F070000}"/>
    <cellStyle name="s196" xfId="172" xr:uid="{00000000-0005-0000-0000-0000AC000000}"/>
    <cellStyle name="s1960" xfId="1936" xr:uid="{00000000-0005-0000-0000-000090070000}"/>
    <cellStyle name="s1961" xfId="1937" xr:uid="{00000000-0005-0000-0000-000091070000}"/>
    <cellStyle name="s1962" xfId="1938" xr:uid="{00000000-0005-0000-0000-000092070000}"/>
    <cellStyle name="s1963" xfId="1939" xr:uid="{00000000-0005-0000-0000-000093070000}"/>
    <cellStyle name="s1964" xfId="1940" xr:uid="{00000000-0005-0000-0000-000094070000}"/>
    <cellStyle name="s1965" xfId="1941" xr:uid="{00000000-0005-0000-0000-000095070000}"/>
    <cellStyle name="s1966" xfId="1942" xr:uid="{00000000-0005-0000-0000-000096070000}"/>
    <cellStyle name="s1967" xfId="1943" xr:uid="{00000000-0005-0000-0000-000097070000}"/>
    <cellStyle name="s1968" xfId="1944" xr:uid="{00000000-0005-0000-0000-000098070000}"/>
    <cellStyle name="s1969" xfId="1945" xr:uid="{00000000-0005-0000-0000-000099070000}"/>
    <cellStyle name="s197" xfId="173" xr:uid="{00000000-0005-0000-0000-0000AD000000}"/>
    <cellStyle name="s1970" xfId="1946" xr:uid="{00000000-0005-0000-0000-00009A070000}"/>
    <cellStyle name="s1971" xfId="1947" xr:uid="{00000000-0005-0000-0000-00009B070000}"/>
    <cellStyle name="s1972" xfId="1948" xr:uid="{00000000-0005-0000-0000-00009C070000}"/>
    <cellStyle name="s1973" xfId="1949" xr:uid="{00000000-0005-0000-0000-00009D070000}"/>
    <cellStyle name="s1974" xfId="1950" xr:uid="{00000000-0005-0000-0000-00009E070000}"/>
    <cellStyle name="s1975" xfId="1951" xr:uid="{00000000-0005-0000-0000-00009F070000}"/>
    <cellStyle name="s1976" xfId="1952" xr:uid="{00000000-0005-0000-0000-0000A0070000}"/>
    <cellStyle name="s1977" xfId="1953" xr:uid="{00000000-0005-0000-0000-0000A1070000}"/>
    <cellStyle name="s1978" xfId="1954" xr:uid="{00000000-0005-0000-0000-0000A2070000}"/>
    <cellStyle name="s1979" xfId="1955" xr:uid="{00000000-0005-0000-0000-0000A3070000}"/>
    <cellStyle name="s198" xfId="174" xr:uid="{00000000-0005-0000-0000-0000AE000000}"/>
    <cellStyle name="s1980" xfId="1956" xr:uid="{00000000-0005-0000-0000-0000A4070000}"/>
    <cellStyle name="s1981" xfId="1957" xr:uid="{00000000-0005-0000-0000-0000A5070000}"/>
    <cellStyle name="s1982" xfId="1958" xr:uid="{00000000-0005-0000-0000-0000A6070000}"/>
    <cellStyle name="s1983" xfId="1959" xr:uid="{00000000-0005-0000-0000-0000A7070000}"/>
    <cellStyle name="s1984" xfId="1960" xr:uid="{00000000-0005-0000-0000-0000A8070000}"/>
    <cellStyle name="s1985" xfId="1961" xr:uid="{00000000-0005-0000-0000-0000A9070000}"/>
    <cellStyle name="s1986" xfId="1962" xr:uid="{00000000-0005-0000-0000-0000AA070000}"/>
    <cellStyle name="s1987" xfId="1963" xr:uid="{00000000-0005-0000-0000-0000AB070000}"/>
    <cellStyle name="s1988" xfId="1964" xr:uid="{00000000-0005-0000-0000-0000AC070000}"/>
    <cellStyle name="s1989" xfId="1965" xr:uid="{00000000-0005-0000-0000-0000AD070000}"/>
    <cellStyle name="s199" xfId="175" xr:uid="{00000000-0005-0000-0000-0000AF000000}"/>
    <cellStyle name="s1990" xfId="1966" xr:uid="{00000000-0005-0000-0000-0000AE070000}"/>
    <cellStyle name="s1991" xfId="1967" xr:uid="{00000000-0005-0000-0000-0000AF070000}"/>
    <cellStyle name="s1992" xfId="1968" xr:uid="{00000000-0005-0000-0000-0000B0070000}"/>
    <cellStyle name="s1993" xfId="1969" xr:uid="{00000000-0005-0000-0000-0000B1070000}"/>
    <cellStyle name="s1994" xfId="1970" xr:uid="{00000000-0005-0000-0000-0000B2070000}"/>
    <cellStyle name="s1995" xfId="1971" xr:uid="{00000000-0005-0000-0000-0000B3070000}"/>
    <cellStyle name="s1996" xfId="1972" xr:uid="{00000000-0005-0000-0000-0000B4070000}"/>
    <cellStyle name="s1997" xfId="1973" xr:uid="{00000000-0005-0000-0000-0000B5070000}"/>
    <cellStyle name="s1998" xfId="1974" xr:uid="{00000000-0005-0000-0000-0000B6070000}"/>
    <cellStyle name="s1999" xfId="1975" xr:uid="{00000000-0005-0000-0000-0000B7070000}"/>
    <cellStyle name="s2" xfId="2534" xr:uid="{00000000-0005-0000-0000-0000E6090000}"/>
    <cellStyle name="s20" xfId="10" xr:uid="{00000000-0005-0000-0000-00000A000000}"/>
    <cellStyle name="s200" xfId="176" xr:uid="{00000000-0005-0000-0000-0000B0000000}"/>
    <cellStyle name="s2000" xfId="1976" xr:uid="{00000000-0005-0000-0000-0000B8070000}"/>
    <cellStyle name="s2001" xfId="1977" xr:uid="{00000000-0005-0000-0000-0000B9070000}"/>
    <cellStyle name="s2002" xfId="1978" xr:uid="{00000000-0005-0000-0000-0000BA070000}"/>
    <cellStyle name="s2003" xfId="1979" xr:uid="{00000000-0005-0000-0000-0000BB070000}"/>
    <cellStyle name="s2004" xfId="1980" xr:uid="{00000000-0005-0000-0000-0000BC070000}"/>
    <cellStyle name="s2005" xfId="1981" xr:uid="{00000000-0005-0000-0000-0000BD070000}"/>
    <cellStyle name="s2006" xfId="1982" xr:uid="{00000000-0005-0000-0000-0000BE070000}"/>
    <cellStyle name="s2007" xfId="1983" xr:uid="{00000000-0005-0000-0000-0000BF070000}"/>
    <cellStyle name="s2008" xfId="1984" xr:uid="{00000000-0005-0000-0000-0000C0070000}"/>
    <cellStyle name="s2009" xfId="1985" xr:uid="{00000000-0005-0000-0000-0000C1070000}"/>
    <cellStyle name="s201" xfId="177" xr:uid="{00000000-0005-0000-0000-0000B1000000}"/>
    <cellStyle name="s2010" xfId="1986" xr:uid="{00000000-0005-0000-0000-0000C2070000}"/>
    <cellStyle name="s2011" xfId="1987" xr:uid="{00000000-0005-0000-0000-0000C3070000}"/>
    <cellStyle name="s2012" xfId="1988" xr:uid="{00000000-0005-0000-0000-0000C4070000}"/>
    <cellStyle name="s2013" xfId="1989" xr:uid="{00000000-0005-0000-0000-0000C5070000}"/>
    <cellStyle name="s2014" xfId="1990" xr:uid="{00000000-0005-0000-0000-0000C6070000}"/>
    <cellStyle name="s2015" xfId="1991" xr:uid="{00000000-0005-0000-0000-0000C7070000}"/>
    <cellStyle name="s2016" xfId="1992" xr:uid="{00000000-0005-0000-0000-0000C8070000}"/>
    <cellStyle name="s2017" xfId="1993" xr:uid="{00000000-0005-0000-0000-0000C9070000}"/>
    <cellStyle name="s2018" xfId="1994" xr:uid="{00000000-0005-0000-0000-0000CA070000}"/>
    <cellStyle name="s2019" xfId="1995" xr:uid="{00000000-0005-0000-0000-0000CB070000}"/>
    <cellStyle name="s202" xfId="178" xr:uid="{00000000-0005-0000-0000-0000B2000000}"/>
    <cellStyle name="s2020" xfId="1996" xr:uid="{00000000-0005-0000-0000-0000CC070000}"/>
    <cellStyle name="s2021" xfId="1997" xr:uid="{00000000-0005-0000-0000-0000CD070000}"/>
    <cellStyle name="s2022" xfId="1998" xr:uid="{00000000-0005-0000-0000-0000CE070000}"/>
    <cellStyle name="s2023" xfId="1999" xr:uid="{00000000-0005-0000-0000-0000CF070000}"/>
    <cellStyle name="s2024" xfId="2000" xr:uid="{00000000-0005-0000-0000-0000D0070000}"/>
    <cellStyle name="s2025" xfId="2001" xr:uid="{00000000-0005-0000-0000-0000D1070000}"/>
    <cellStyle name="s2026" xfId="2002" xr:uid="{00000000-0005-0000-0000-0000D2070000}"/>
    <cellStyle name="s2027" xfId="2003" xr:uid="{00000000-0005-0000-0000-0000D3070000}"/>
    <cellStyle name="s2028" xfId="2004" xr:uid="{00000000-0005-0000-0000-0000D4070000}"/>
    <cellStyle name="s2029" xfId="2005" xr:uid="{00000000-0005-0000-0000-0000D5070000}"/>
    <cellStyle name="s203" xfId="179" xr:uid="{00000000-0005-0000-0000-0000B3000000}"/>
    <cellStyle name="s2030" xfId="2006" xr:uid="{00000000-0005-0000-0000-0000D6070000}"/>
    <cellStyle name="s2031" xfId="2007" xr:uid="{00000000-0005-0000-0000-0000D7070000}"/>
    <cellStyle name="s2032" xfId="2008" xr:uid="{00000000-0005-0000-0000-0000D8070000}"/>
    <cellStyle name="s2033" xfId="2009" xr:uid="{00000000-0005-0000-0000-0000D9070000}"/>
    <cellStyle name="s2034" xfId="2010" xr:uid="{00000000-0005-0000-0000-0000DA070000}"/>
    <cellStyle name="s2035" xfId="2011" xr:uid="{00000000-0005-0000-0000-0000DB070000}"/>
    <cellStyle name="s2036" xfId="2012" xr:uid="{00000000-0005-0000-0000-0000DC070000}"/>
    <cellStyle name="s2037" xfId="2013" xr:uid="{00000000-0005-0000-0000-0000DD070000}"/>
    <cellStyle name="s2038" xfId="2014" xr:uid="{00000000-0005-0000-0000-0000DE070000}"/>
    <cellStyle name="s2039" xfId="2015" xr:uid="{00000000-0005-0000-0000-0000DF070000}"/>
    <cellStyle name="s204" xfId="180" xr:uid="{00000000-0005-0000-0000-0000B4000000}"/>
    <cellStyle name="s2040" xfId="2016" xr:uid="{00000000-0005-0000-0000-0000E0070000}"/>
    <cellStyle name="s2041" xfId="2017" xr:uid="{00000000-0005-0000-0000-0000E1070000}"/>
    <cellStyle name="s2042" xfId="2018" xr:uid="{00000000-0005-0000-0000-0000E2070000}"/>
    <cellStyle name="s2043" xfId="2019" xr:uid="{00000000-0005-0000-0000-0000E3070000}"/>
    <cellStyle name="s2044" xfId="2020" xr:uid="{00000000-0005-0000-0000-0000E4070000}"/>
    <cellStyle name="s2045" xfId="2021" xr:uid="{00000000-0005-0000-0000-0000E5070000}"/>
    <cellStyle name="s2046" xfId="2022" xr:uid="{00000000-0005-0000-0000-0000E6070000}"/>
    <cellStyle name="s2047" xfId="2023" xr:uid="{00000000-0005-0000-0000-0000E7070000}"/>
    <cellStyle name="s2048" xfId="2024" xr:uid="{00000000-0005-0000-0000-0000E8070000}"/>
    <cellStyle name="s2049" xfId="2025" xr:uid="{00000000-0005-0000-0000-0000E9070000}"/>
    <cellStyle name="s205" xfId="181" xr:uid="{00000000-0005-0000-0000-0000B5000000}"/>
    <cellStyle name="s2050" xfId="2026" xr:uid="{00000000-0005-0000-0000-0000EA070000}"/>
    <cellStyle name="s2051" xfId="2027" xr:uid="{00000000-0005-0000-0000-0000EB070000}"/>
    <cellStyle name="s2052" xfId="2028" xr:uid="{00000000-0005-0000-0000-0000EC070000}"/>
    <cellStyle name="s2053" xfId="2029" xr:uid="{00000000-0005-0000-0000-0000ED070000}"/>
    <cellStyle name="s2054" xfId="2030" xr:uid="{00000000-0005-0000-0000-0000EE070000}"/>
    <cellStyle name="s2055" xfId="2031" xr:uid="{00000000-0005-0000-0000-0000EF070000}"/>
    <cellStyle name="s2056" xfId="2032" xr:uid="{00000000-0005-0000-0000-0000F0070000}"/>
    <cellStyle name="s2057" xfId="2033" xr:uid="{00000000-0005-0000-0000-0000F1070000}"/>
    <cellStyle name="s2058" xfId="2034" xr:uid="{00000000-0005-0000-0000-0000F2070000}"/>
    <cellStyle name="s2059" xfId="2035" xr:uid="{00000000-0005-0000-0000-0000F3070000}"/>
    <cellStyle name="s206" xfId="182" xr:uid="{00000000-0005-0000-0000-0000B6000000}"/>
    <cellStyle name="s2060" xfId="2036" xr:uid="{00000000-0005-0000-0000-0000F4070000}"/>
    <cellStyle name="s2061" xfId="2037" xr:uid="{00000000-0005-0000-0000-0000F5070000}"/>
    <cellStyle name="s2062" xfId="2038" xr:uid="{00000000-0005-0000-0000-0000F6070000}"/>
    <cellStyle name="s2063" xfId="2039" xr:uid="{00000000-0005-0000-0000-0000F7070000}"/>
    <cellStyle name="s2064" xfId="2040" xr:uid="{00000000-0005-0000-0000-0000F8070000}"/>
    <cellStyle name="s2065" xfId="2041" xr:uid="{00000000-0005-0000-0000-0000F9070000}"/>
    <cellStyle name="s2066" xfId="2042" xr:uid="{00000000-0005-0000-0000-0000FA070000}"/>
    <cellStyle name="s2067" xfId="2043" xr:uid="{00000000-0005-0000-0000-0000FB070000}"/>
    <cellStyle name="s2068" xfId="2044" xr:uid="{00000000-0005-0000-0000-0000FC070000}"/>
    <cellStyle name="s2069" xfId="2045" xr:uid="{00000000-0005-0000-0000-0000FD070000}"/>
    <cellStyle name="s207" xfId="183" xr:uid="{00000000-0005-0000-0000-0000B7000000}"/>
    <cellStyle name="s2070" xfId="2046" xr:uid="{00000000-0005-0000-0000-0000FE070000}"/>
    <cellStyle name="s2071" xfId="2047" xr:uid="{00000000-0005-0000-0000-0000FF070000}"/>
    <cellStyle name="s2072" xfId="2048" xr:uid="{00000000-0005-0000-0000-000000080000}"/>
    <cellStyle name="s2073" xfId="2049" xr:uid="{00000000-0005-0000-0000-000001080000}"/>
    <cellStyle name="s2074" xfId="2050" xr:uid="{00000000-0005-0000-0000-000002080000}"/>
    <cellStyle name="s2075" xfId="2051" xr:uid="{00000000-0005-0000-0000-000003080000}"/>
    <cellStyle name="s2076" xfId="2052" xr:uid="{00000000-0005-0000-0000-000004080000}"/>
    <cellStyle name="s2077" xfId="2053" xr:uid="{00000000-0005-0000-0000-000005080000}"/>
    <cellStyle name="s2078" xfId="2054" xr:uid="{00000000-0005-0000-0000-000006080000}"/>
    <cellStyle name="s2079" xfId="2055" xr:uid="{00000000-0005-0000-0000-000007080000}"/>
    <cellStyle name="s208" xfId="184" xr:uid="{00000000-0005-0000-0000-0000B8000000}"/>
    <cellStyle name="s2080" xfId="2056" xr:uid="{00000000-0005-0000-0000-000008080000}"/>
    <cellStyle name="s2081" xfId="2057" xr:uid="{00000000-0005-0000-0000-000009080000}"/>
    <cellStyle name="s2082" xfId="2058" xr:uid="{00000000-0005-0000-0000-00000A080000}"/>
    <cellStyle name="s2083" xfId="2059" xr:uid="{00000000-0005-0000-0000-00000B080000}"/>
    <cellStyle name="s2084" xfId="2060" xr:uid="{00000000-0005-0000-0000-00000C080000}"/>
    <cellStyle name="s2085" xfId="2061" xr:uid="{00000000-0005-0000-0000-00000D080000}"/>
    <cellStyle name="s2086" xfId="2062" xr:uid="{00000000-0005-0000-0000-00000E080000}"/>
    <cellStyle name="s2087" xfId="2063" xr:uid="{00000000-0005-0000-0000-00000F080000}"/>
    <cellStyle name="s2088" xfId="2064" xr:uid="{00000000-0005-0000-0000-000010080000}"/>
    <cellStyle name="s2089" xfId="2065" xr:uid="{00000000-0005-0000-0000-000011080000}"/>
    <cellStyle name="s209" xfId="185" xr:uid="{00000000-0005-0000-0000-0000B9000000}"/>
    <cellStyle name="s2090" xfId="2066" xr:uid="{00000000-0005-0000-0000-000012080000}"/>
    <cellStyle name="s2091" xfId="2067" xr:uid="{00000000-0005-0000-0000-000013080000}"/>
    <cellStyle name="s2092" xfId="2068" xr:uid="{00000000-0005-0000-0000-000014080000}"/>
    <cellStyle name="s2093" xfId="2069" xr:uid="{00000000-0005-0000-0000-000015080000}"/>
    <cellStyle name="s2094" xfId="2070" xr:uid="{00000000-0005-0000-0000-000016080000}"/>
    <cellStyle name="s2095" xfId="2071" xr:uid="{00000000-0005-0000-0000-000017080000}"/>
    <cellStyle name="s2096" xfId="2072" xr:uid="{00000000-0005-0000-0000-000018080000}"/>
    <cellStyle name="s2097" xfId="2073" xr:uid="{00000000-0005-0000-0000-000019080000}"/>
    <cellStyle name="s2098" xfId="2074" xr:uid="{00000000-0005-0000-0000-00001A080000}"/>
    <cellStyle name="s2099" xfId="2075" xr:uid="{00000000-0005-0000-0000-00001B080000}"/>
    <cellStyle name="s21" xfId="11" xr:uid="{00000000-0005-0000-0000-00000B000000}"/>
    <cellStyle name="s210" xfId="186" xr:uid="{00000000-0005-0000-0000-0000BA000000}"/>
    <cellStyle name="s2100" xfId="2076" xr:uid="{00000000-0005-0000-0000-00001C080000}"/>
    <cellStyle name="s2101" xfId="2077" xr:uid="{00000000-0005-0000-0000-00001D080000}"/>
    <cellStyle name="s2102" xfId="2078" xr:uid="{00000000-0005-0000-0000-00001E080000}"/>
    <cellStyle name="s2103" xfId="2079" xr:uid="{00000000-0005-0000-0000-00001F080000}"/>
    <cellStyle name="s2104" xfId="2080" xr:uid="{00000000-0005-0000-0000-000020080000}"/>
    <cellStyle name="s2105" xfId="2081" xr:uid="{00000000-0005-0000-0000-000021080000}"/>
    <cellStyle name="s2106" xfId="2082" xr:uid="{00000000-0005-0000-0000-000022080000}"/>
    <cellStyle name="s2107" xfId="2083" xr:uid="{00000000-0005-0000-0000-000023080000}"/>
    <cellStyle name="s2108" xfId="2084" xr:uid="{00000000-0005-0000-0000-000024080000}"/>
    <cellStyle name="s2109" xfId="2085" xr:uid="{00000000-0005-0000-0000-000025080000}"/>
    <cellStyle name="s211" xfId="187" xr:uid="{00000000-0005-0000-0000-0000BB000000}"/>
    <cellStyle name="s2110" xfId="2086" xr:uid="{00000000-0005-0000-0000-000026080000}"/>
    <cellStyle name="s2111" xfId="2087" xr:uid="{00000000-0005-0000-0000-000027080000}"/>
    <cellStyle name="s2112" xfId="2088" xr:uid="{00000000-0005-0000-0000-000028080000}"/>
    <cellStyle name="s2113" xfId="2089" xr:uid="{00000000-0005-0000-0000-000029080000}"/>
    <cellStyle name="s2114" xfId="2090" xr:uid="{00000000-0005-0000-0000-00002A080000}"/>
    <cellStyle name="s2115" xfId="2091" xr:uid="{00000000-0005-0000-0000-00002B080000}"/>
    <cellStyle name="s2116" xfId="2092" xr:uid="{00000000-0005-0000-0000-00002C080000}"/>
    <cellStyle name="s2117" xfId="2093" xr:uid="{00000000-0005-0000-0000-00002D080000}"/>
    <cellStyle name="s2118" xfId="2094" xr:uid="{00000000-0005-0000-0000-00002E080000}"/>
    <cellStyle name="s2119" xfId="2095" xr:uid="{00000000-0005-0000-0000-00002F080000}"/>
    <cellStyle name="s212" xfId="188" xr:uid="{00000000-0005-0000-0000-0000BC000000}"/>
    <cellStyle name="s2120" xfId="2096" xr:uid="{00000000-0005-0000-0000-000030080000}"/>
    <cellStyle name="s2121" xfId="2097" xr:uid="{00000000-0005-0000-0000-000031080000}"/>
    <cellStyle name="s2122" xfId="2098" xr:uid="{00000000-0005-0000-0000-000032080000}"/>
    <cellStyle name="s2123" xfId="2099" xr:uid="{00000000-0005-0000-0000-000033080000}"/>
    <cellStyle name="s2124" xfId="2100" xr:uid="{00000000-0005-0000-0000-000034080000}"/>
    <cellStyle name="s2125" xfId="2101" xr:uid="{00000000-0005-0000-0000-000035080000}"/>
    <cellStyle name="s2126" xfId="2102" xr:uid="{00000000-0005-0000-0000-000036080000}"/>
    <cellStyle name="s2127" xfId="2103" xr:uid="{00000000-0005-0000-0000-000037080000}"/>
    <cellStyle name="s2128" xfId="2104" xr:uid="{00000000-0005-0000-0000-000038080000}"/>
    <cellStyle name="s2129" xfId="2105" xr:uid="{00000000-0005-0000-0000-000039080000}"/>
    <cellStyle name="s213" xfId="189" xr:uid="{00000000-0005-0000-0000-0000BD000000}"/>
    <cellStyle name="s2130" xfId="2106" xr:uid="{00000000-0005-0000-0000-00003A080000}"/>
    <cellStyle name="s2131" xfId="2107" xr:uid="{00000000-0005-0000-0000-00003B080000}"/>
    <cellStyle name="s2132" xfId="2108" xr:uid="{00000000-0005-0000-0000-00003C080000}"/>
    <cellStyle name="s2133" xfId="2109" xr:uid="{00000000-0005-0000-0000-00003D080000}"/>
    <cellStyle name="s2134" xfId="2110" xr:uid="{00000000-0005-0000-0000-00003E080000}"/>
    <cellStyle name="s2135" xfId="2111" xr:uid="{00000000-0005-0000-0000-00003F080000}"/>
    <cellStyle name="s2136" xfId="2112" xr:uid="{00000000-0005-0000-0000-000040080000}"/>
    <cellStyle name="s2137" xfId="2113" xr:uid="{00000000-0005-0000-0000-000041080000}"/>
    <cellStyle name="s2138" xfId="2114" xr:uid="{00000000-0005-0000-0000-000042080000}"/>
    <cellStyle name="s2139" xfId="2115" xr:uid="{00000000-0005-0000-0000-000043080000}"/>
    <cellStyle name="s214" xfId="190" xr:uid="{00000000-0005-0000-0000-0000BE000000}"/>
    <cellStyle name="s2140" xfId="2116" xr:uid="{00000000-0005-0000-0000-000044080000}"/>
    <cellStyle name="s2141" xfId="2117" xr:uid="{00000000-0005-0000-0000-000045080000}"/>
    <cellStyle name="s2142" xfId="2118" xr:uid="{00000000-0005-0000-0000-000046080000}"/>
    <cellStyle name="s2143" xfId="2119" xr:uid="{00000000-0005-0000-0000-000047080000}"/>
    <cellStyle name="s2144" xfId="2120" xr:uid="{00000000-0005-0000-0000-000048080000}"/>
    <cellStyle name="s2145" xfId="2121" xr:uid="{00000000-0005-0000-0000-000049080000}"/>
    <cellStyle name="s2146" xfId="2122" xr:uid="{00000000-0005-0000-0000-00004A080000}"/>
    <cellStyle name="s2147" xfId="2123" xr:uid="{00000000-0005-0000-0000-00004B080000}"/>
    <cellStyle name="s2148" xfId="2124" xr:uid="{00000000-0005-0000-0000-00004C080000}"/>
    <cellStyle name="s2149" xfId="2125" xr:uid="{00000000-0005-0000-0000-00004D080000}"/>
    <cellStyle name="s215" xfId="191" xr:uid="{00000000-0005-0000-0000-0000BF000000}"/>
    <cellStyle name="s2150" xfId="2126" xr:uid="{00000000-0005-0000-0000-00004E080000}"/>
    <cellStyle name="s2151" xfId="2127" xr:uid="{00000000-0005-0000-0000-00004F080000}"/>
    <cellStyle name="s2152" xfId="2128" xr:uid="{00000000-0005-0000-0000-000050080000}"/>
    <cellStyle name="s2153" xfId="2129" xr:uid="{00000000-0005-0000-0000-000051080000}"/>
    <cellStyle name="s2154" xfId="2130" xr:uid="{00000000-0005-0000-0000-000052080000}"/>
    <cellStyle name="s2155" xfId="2131" xr:uid="{00000000-0005-0000-0000-000053080000}"/>
    <cellStyle name="s2156" xfId="2132" xr:uid="{00000000-0005-0000-0000-000054080000}"/>
    <cellStyle name="s2157" xfId="2133" xr:uid="{00000000-0005-0000-0000-000055080000}"/>
    <cellStyle name="s2158" xfId="2134" xr:uid="{00000000-0005-0000-0000-000056080000}"/>
    <cellStyle name="s2159" xfId="2135" xr:uid="{00000000-0005-0000-0000-000057080000}"/>
    <cellStyle name="s216" xfId="192" xr:uid="{00000000-0005-0000-0000-0000C0000000}"/>
    <cellStyle name="s2160" xfId="2136" xr:uid="{00000000-0005-0000-0000-000058080000}"/>
    <cellStyle name="s2161" xfId="2137" xr:uid="{00000000-0005-0000-0000-000059080000}"/>
    <cellStyle name="s2162" xfId="2138" xr:uid="{00000000-0005-0000-0000-00005A080000}"/>
    <cellStyle name="s2163" xfId="2139" xr:uid="{00000000-0005-0000-0000-00005B080000}"/>
    <cellStyle name="s2164" xfId="2140" xr:uid="{00000000-0005-0000-0000-00005C080000}"/>
    <cellStyle name="s2165" xfId="2141" xr:uid="{00000000-0005-0000-0000-00005D080000}"/>
    <cellStyle name="s2166" xfId="2142" xr:uid="{00000000-0005-0000-0000-00005E080000}"/>
    <cellStyle name="s2167" xfId="2143" xr:uid="{00000000-0005-0000-0000-00005F080000}"/>
    <cellStyle name="s2168" xfId="2144" xr:uid="{00000000-0005-0000-0000-000060080000}"/>
    <cellStyle name="s2169" xfId="2145" xr:uid="{00000000-0005-0000-0000-000061080000}"/>
    <cellStyle name="s217" xfId="193" xr:uid="{00000000-0005-0000-0000-0000C1000000}"/>
    <cellStyle name="s2170" xfId="2146" xr:uid="{00000000-0005-0000-0000-000062080000}"/>
    <cellStyle name="s2171" xfId="2147" xr:uid="{00000000-0005-0000-0000-000063080000}"/>
    <cellStyle name="s2172" xfId="2148" xr:uid="{00000000-0005-0000-0000-000064080000}"/>
    <cellStyle name="s2173" xfId="2149" xr:uid="{00000000-0005-0000-0000-000065080000}"/>
    <cellStyle name="s2174" xfId="2150" xr:uid="{00000000-0005-0000-0000-000066080000}"/>
    <cellStyle name="s2175" xfId="2151" xr:uid="{00000000-0005-0000-0000-000067080000}"/>
    <cellStyle name="s2176" xfId="2152" xr:uid="{00000000-0005-0000-0000-000068080000}"/>
    <cellStyle name="s2177" xfId="2153" xr:uid="{00000000-0005-0000-0000-000069080000}"/>
    <cellStyle name="s2178" xfId="2154" xr:uid="{00000000-0005-0000-0000-00006A080000}"/>
    <cellStyle name="s2179" xfId="2155" xr:uid="{00000000-0005-0000-0000-00006B080000}"/>
    <cellStyle name="s218" xfId="194" xr:uid="{00000000-0005-0000-0000-0000C2000000}"/>
    <cellStyle name="s2180" xfId="2156" xr:uid="{00000000-0005-0000-0000-00006C080000}"/>
    <cellStyle name="s2181" xfId="2157" xr:uid="{00000000-0005-0000-0000-00006D080000}"/>
    <cellStyle name="s2182" xfId="2158" xr:uid="{00000000-0005-0000-0000-00006E080000}"/>
    <cellStyle name="s2183" xfId="2159" xr:uid="{00000000-0005-0000-0000-00006F080000}"/>
    <cellStyle name="s2184" xfId="2160" xr:uid="{00000000-0005-0000-0000-000070080000}"/>
    <cellStyle name="s2185" xfId="2161" xr:uid="{00000000-0005-0000-0000-000071080000}"/>
    <cellStyle name="s2186" xfId="2162" xr:uid="{00000000-0005-0000-0000-000072080000}"/>
    <cellStyle name="s2187" xfId="2163" xr:uid="{00000000-0005-0000-0000-000073080000}"/>
    <cellStyle name="s2188" xfId="2164" xr:uid="{00000000-0005-0000-0000-000074080000}"/>
    <cellStyle name="s2189" xfId="2165" xr:uid="{00000000-0005-0000-0000-000075080000}"/>
    <cellStyle name="s219" xfId="195" xr:uid="{00000000-0005-0000-0000-0000C3000000}"/>
    <cellStyle name="s2190" xfId="2166" xr:uid="{00000000-0005-0000-0000-000076080000}"/>
    <cellStyle name="s2191" xfId="2167" xr:uid="{00000000-0005-0000-0000-000077080000}"/>
    <cellStyle name="s2192" xfId="2168" xr:uid="{00000000-0005-0000-0000-000078080000}"/>
    <cellStyle name="s2193" xfId="2169" xr:uid="{00000000-0005-0000-0000-000079080000}"/>
    <cellStyle name="s2194" xfId="2170" xr:uid="{00000000-0005-0000-0000-00007A080000}"/>
    <cellStyle name="s2195" xfId="2171" xr:uid="{00000000-0005-0000-0000-00007B080000}"/>
    <cellStyle name="s2196" xfId="2172" xr:uid="{00000000-0005-0000-0000-00007C080000}"/>
    <cellStyle name="s2197" xfId="2173" xr:uid="{00000000-0005-0000-0000-00007D080000}"/>
    <cellStyle name="s2198" xfId="2174" xr:uid="{00000000-0005-0000-0000-00007E080000}"/>
    <cellStyle name="s2199" xfId="2175" xr:uid="{00000000-0005-0000-0000-00007F080000}"/>
    <cellStyle name="s22" xfId="12" xr:uid="{00000000-0005-0000-0000-00000C000000}"/>
    <cellStyle name="s220" xfId="196" xr:uid="{00000000-0005-0000-0000-0000C4000000}"/>
    <cellStyle name="s2200" xfId="2176" xr:uid="{00000000-0005-0000-0000-000080080000}"/>
    <cellStyle name="s2201" xfId="2177" xr:uid="{00000000-0005-0000-0000-000081080000}"/>
    <cellStyle name="s2202" xfId="2178" xr:uid="{00000000-0005-0000-0000-000082080000}"/>
    <cellStyle name="s2203" xfId="2179" xr:uid="{00000000-0005-0000-0000-000083080000}"/>
    <cellStyle name="s2204" xfId="2180" xr:uid="{00000000-0005-0000-0000-000084080000}"/>
    <cellStyle name="s2205" xfId="2181" xr:uid="{00000000-0005-0000-0000-000085080000}"/>
    <cellStyle name="s2206" xfId="2182" xr:uid="{00000000-0005-0000-0000-000086080000}"/>
    <cellStyle name="s2207" xfId="2183" xr:uid="{00000000-0005-0000-0000-000087080000}"/>
    <cellStyle name="s2208" xfId="2184" xr:uid="{00000000-0005-0000-0000-000088080000}"/>
    <cellStyle name="s2209" xfId="2185" xr:uid="{00000000-0005-0000-0000-000089080000}"/>
    <cellStyle name="s221" xfId="197" xr:uid="{00000000-0005-0000-0000-0000C5000000}"/>
    <cellStyle name="s2210" xfId="2186" xr:uid="{00000000-0005-0000-0000-00008A080000}"/>
    <cellStyle name="s2211" xfId="2187" xr:uid="{00000000-0005-0000-0000-00008B080000}"/>
    <cellStyle name="s2212" xfId="2188" xr:uid="{00000000-0005-0000-0000-00008C080000}"/>
    <cellStyle name="s2213" xfId="2189" xr:uid="{00000000-0005-0000-0000-00008D080000}"/>
    <cellStyle name="s2214" xfId="2190" xr:uid="{00000000-0005-0000-0000-00008E080000}"/>
    <cellStyle name="s2215" xfId="2191" xr:uid="{00000000-0005-0000-0000-00008F080000}"/>
    <cellStyle name="s2216" xfId="2192" xr:uid="{00000000-0005-0000-0000-000090080000}"/>
    <cellStyle name="s2217" xfId="2193" xr:uid="{00000000-0005-0000-0000-000091080000}"/>
    <cellStyle name="s2218" xfId="2194" xr:uid="{00000000-0005-0000-0000-000092080000}"/>
    <cellStyle name="s2219" xfId="2195" xr:uid="{00000000-0005-0000-0000-000093080000}"/>
    <cellStyle name="s222" xfId="198" xr:uid="{00000000-0005-0000-0000-0000C6000000}"/>
    <cellStyle name="s2220" xfId="2196" xr:uid="{00000000-0005-0000-0000-000094080000}"/>
    <cellStyle name="s2221" xfId="2197" xr:uid="{00000000-0005-0000-0000-000095080000}"/>
    <cellStyle name="s2222" xfId="2198" xr:uid="{00000000-0005-0000-0000-000096080000}"/>
    <cellStyle name="s2223" xfId="2199" xr:uid="{00000000-0005-0000-0000-000097080000}"/>
    <cellStyle name="s2224" xfId="2200" xr:uid="{00000000-0005-0000-0000-000098080000}"/>
    <cellStyle name="s2225" xfId="2201" xr:uid="{00000000-0005-0000-0000-000099080000}"/>
    <cellStyle name="s2226" xfId="2202" xr:uid="{00000000-0005-0000-0000-00009A080000}"/>
    <cellStyle name="s2227" xfId="2203" xr:uid="{00000000-0005-0000-0000-00009B080000}"/>
    <cellStyle name="s2228" xfId="2204" xr:uid="{00000000-0005-0000-0000-00009C080000}"/>
    <cellStyle name="s2229" xfId="2205" xr:uid="{00000000-0005-0000-0000-00009D080000}"/>
    <cellStyle name="s223" xfId="199" xr:uid="{00000000-0005-0000-0000-0000C7000000}"/>
    <cellStyle name="s2230" xfId="2206" xr:uid="{00000000-0005-0000-0000-00009E080000}"/>
    <cellStyle name="s2231" xfId="2207" xr:uid="{00000000-0005-0000-0000-00009F080000}"/>
    <cellStyle name="s2232" xfId="2208" xr:uid="{00000000-0005-0000-0000-0000A0080000}"/>
    <cellStyle name="s2233" xfId="2209" xr:uid="{00000000-0005-0000-0000-0000A1080000}"/>
    <cellStyle name="s2234" xfId="2210" xr:uid="{00000000-0005-0000-0000-0000A2080000}"/>
    <cellStyle name="s2235" xfId="2211" xr:uid="{00000000-0005-0000-0000-0000A3080000}"/>
    <cellStyle name="s2236" xfId="2212" xr:uid="{00000000-0005-0000-0000-0000A4080000}"/>
    <cellStyle name="s2237" xfId="2213" xr:uid="{00000000-0005-0000-0000-0000A5080000}"/>
    <cellStyle name="s2238" xfId="2214" xr:uid="{00000000-0005-0000-0000-0000A6080000}"/>
    <cellStyle name="s2239" xfId="2215" xr:uid="{00000000-0005-0000-0000-0000A7080000}"/>
    <cellStyle name="s224" xfId="200" xr:uid="{00000000-0005-0000-0000-0000C8000000}"/>
    <cellStyle name="s2240" xfId="2216" xr:uid="{00000000-0005-0000-0000-0000A8080000}"/>
    <cellStyle name="s2241" xfId="2217" xr:uid="{00000000-0005-0000-0000-0000A9080000}"/>
    <cellStyle name="s2242" xfId="2218" xr:uid="{00000000-0005-0000-0000-0000AA080000}"/>
    <cellStyle name="s2243" xfId="2219" xr:uid="{00000000-0005-0000-0000-0000AB080000}"/>
    <cellStyle name="s2244" xfId="2220" xr:uid="{00000000-0005-0000-0000-0000AC080000}"/>
    <cellStyle name="s2245" xfId="2221" xr:uid="{00000000-0005-0000-0000-0000AD080000}"/>
    <cellStyle name="s2246" xfId="2222" xr:uid="{00000000-0005-0000-0000-0000AE080000}"/>
    <cellStyle name="s2247" xfId="2223" xr:uid="{00000000-0005-0000-0000-0000AF080000}"/>
    <cellStyle name="s2248" xfId="2224" xr:uid="{00000000-0005-0000-0000-0000B0080000}"/>
    <cellStyle name="s2249" xfId="2225" xr:uid="{00000000-0005-0000-0000-0000B1080000}"/>
    <cellStyle name="s225" xfId="201" xr:uid="{00000000-0005-0000-0000-0000C9000000}"/>
    <cellStyle name="s2250" xfId="2226" xr:uid="{00000000-0005-0000-0000-0000B2080000}"/>
    <cellStyle name="s2251" xfId="2227" xr:uid="{00000000-0005-0000-0000-0000B3080000}"/>
    <cellStyle name="s2252" xfId="2228" xr:uid="{00000000-0005-0000-0000-0000B4080000}"/>
    <cellStyle name="s2253" xfId="2229" xr:uid="{00000000-0005-0000-0000-0000B5080000}"/>
    <cellStyle name="s2254" xfId="2230" xr:uid="{00000000-0005-0000-0000-0000B6080000}"/>
    <cellStyle name="s2255" xfId="2231" xr:uid="{00000000-0005-0000-0000-0000B7080000}"/>
    <cellStyle name="s2256" xfId="2232" xr:uid="{00000000-0005-0000-0000-0000B8080000}"/>
    <cellStyle name="s2257" xfId="2233" xr:uid="{00000000-0005-0000-0000-0000B9080000}"/>
    <cellStyle name="s2258" xfId="2234" xr:uid="{00000000-0005-0000-0000-0000BA080000}"/>
    <cellStyle name="s2259" xfId="2235" xr:uid="{00000000-0005-0000-0000-0000BB080000}"/>
    <cellStyle name="s226" xfId="202" xr:uid="{00000000-0005-0000-0000-0000CA000000}"/>
    <cellStyle name="s2260" xfId="2236" xr:uid="{00000000-0005-0000-0000-0000BC080000}"/>
    <cellStyle name="s2261" xfId="2237" xr:uid="{00000000-0005-0000-0000-0000BD080000}"/>
    <cellStyle name="s2262" xfId="2238" xr:uid="{00000000-0005-0000-0000-0000BE080000}"/>
    <cellStyle name="s2263" xfId="2239" xr:uid="{00000000-0005-0000-0000-0000BF080000}"/>
    <cellStyle name="s2264" xfId="2240" xr:uid="{00000000-0005-0000-0000-0000C0080000}"/>
    <cellStyle name="s2265" xfId="2241" xr:uid="{00000000-0005-0000-0000-0000C1080000}"/>
    <cellStyle name="s2266" xfId="2242" xr:uid="{00000000-0005-0000-0000-0000C2080000}"/>
    <cellStyle name="s2267" xfId="2243" xr:uid="{00000000-0005-0000-0000-0000C3080000}"/>
    <cellStyle name="s2268" xfId="2244" xr:uid="{00000000-0005-0000-0000-0000C4080000}"/>
    <cellStyle name="s2269" xfId="2245" xr:uid="{00000000-0005-0000-0000-0000C5080000}"/>
    <cellStyle name="s227" xfId="203" xr:uid="{00000000-0005-0000-0000-0000CB000000}"/>
    <cellStyle name="s2270" xfId="2246" xr:uid="{00000000-0005-0000-0000-0000C6080000}"/>
    <cellStyle name="s2271" xfId="2247" xr:uid="{00000000-0005-0000-0000-0000C7080000}"/>
    <cellStyle name="s2272" xfId="2248" xr:uid="{00000000-0005-0000-0000-0000C8080000}"/>
    <cellStyle name="s2273" xfId="2249" xr:uid="{00000000-0005-0000-0000-0000C9080000}"/>
    <cellStyle name="s2274" xfId="2250" xr:uid="{00000000-0005-0000-0000-0000CA080000}"/>
    <cellStyle name="s2275" xfId="2251" xr:uid="{00000000-0005-0000-0000-0000CB080000}"/>
    <cellStyle name="s2276" xfId="2252" xr:uid="{00000000-0005-0000-0000-0000CC080000}"/>
    <cellStyle name="s2277" xfId="2253" xr:uid="{00000000-0005-0000-0000-0000CD080000}"/>
    <cellStyle name="s2278" xfId="2254" xr:uid="{00000000-0005-0000-0000-0000CE080000}"/>
    <cellStyle name="s2279" xfId="2255" xr:uid="{00000000-0005-0000-0000-0000CF080000}"/>
    <cellStyle name="s228" xfId="204" xr:uid="{00000000-0005-0000-0000-0000CC000000}"/>
    <cellStyle name="s2280" xfId="2256" xr:uid="{00000000-0005-0000-0000-0000D0080000}"/>
    <cellStyle name="s2281" xfId="2257" xr:uid="{00000000-0005-0000-0000-0000D1080000}"/>
    <cellStyle name="s2282" xfId="2258" xr:uid="{00000000-0005-0000-0000-0000D2080000}"/>
    <cellStyle name="s2283" xfId="2259" xr:uid="{00000000-0005-0000-0000-0000D3080000}"/>
    <cellStyle name="s2284" xfId="2260" xr:uid="{00000000-0005-0000-0000-0000D4080000}"/>
    <cellStyle name="s2285" xfId="2261" xr:uid="{00000000-0005-0000-0000-0000D5080000}"/>
    <cellStyle name="s2286" xfId="2262" xr:uid="{00000000-0005-0000-0000-0000D6080000}"/>
    <cellStyle name="s2287" xfId="2263" xr:uid="{00000000-0005-0000-0000-0000D7080000}"/>
    <cellStyle name="s2288" xfId="2264" xr:uid="{00000000-0005-0000-0000-0000D8080000}"/>
    <cellStyle name="s2289" xfId="2265" xr:uid="{00000000-0005-0000-0000-0000D9080000}"/>
    <cellStyle name="s229" xfId="205" xr:uid="{00000000-0005-0000-0000-0000CD000000}"/>
    <cellStyle name="s2290" xfId="2266" xr:uid="{00000000-0005-0000-0000-0000DA080000}"/>
    <cellStyle name="s2291" xfId="2267" xr:uid="{00000000-0005-0000-0000-0000DB080000}"/>
    <cellStyle name="s2292" xfId="2268" xr:uid="{00000000-0005-0000-0000-0000DC080000}"/>
    <cellStyle name="s2293" xfId="2269" xr:uid="{00000000-0005-0000-0000-0000DD080000}"/>
    <cellStyle name="s2294" xfId="2270" xr:uid="{00000000-0005-0000-0000-0000DE080000}"/>
    <cellStyle name="s2295" xfId="2271" xr:uid="{00000000-0005-0000-0000-0000DF080000}"/>
    <cellStyle name="s2296" xfId="2272" xr:uid="{00000000-0005-0000-0000-0000E0080000}"/>
    <cellStyle name="s2297" xfId="2273" xr:uid="{00000000-0005-0000-0000-0000E1080000}"/>
    <cellStyle name="s2298" xfId="2274" xr:uid="{00000000-0005-0000-0000-0000E2080000}"/>
    <cellStyle name="s2299" xfId="2275" xr:uid="{00000000-0005-0000-0000-0000E3080000}"/>
    <cellStyle name="s23" xfId="13" xr:uid="{00000000-0005-0000-0000-00000D000000}"/>
    <cellStyle name="s230" xfId="206" xr:uid="{00000000-0005-0000-0000-0000CE000000}"/>
    <cellStyle name="s2300" xfId="2276" xr:uid="{00000000-0005-0000-0000-0000E4080000}"/>
    <cellStyle name="s2301" xfId="2277" xr:uid="{00000000-0005-0000-0000-0000E5080000}"/>
    <cellStyle name="s2302" xfId="2278" xr:uid="{00000000-0005-0000-0000-0000E6080000}"/>
    <cellStyle name="s2303" xfId="2279" xr:uid="{00000000-0005-0000-0000-0000E7080000}"/>
    <cellStyle name="s2304" xfId="2280" xr:uid="{00000000-0005-0000-0000-0000E8080000}"/>
    <cellStyle name="s2305" xfId="2281" xr:uid="{00000000-0005-0000-0000-0000E9080000}"/>
    <cellStyle name="s2306" xfId="2282" xr:uid="{00000000-0005-0000-0000-0000EA080000}"/>
    <cellStyle name="s2307" xfId="2283" xr:uid="{00000000-0005-0000-0000-0000EB080000}"/>
    <cellStyle name="s2308" xfId="2284" xr:uid="{00000000-0005-0000-0000-0000EC080000}"/>
    <cellStyle name="s2309" xfId="2285" xr:uid="{00000000-0005-0000-0000-0000ED080000}"/>
    <cellStyle name="s231" xfId="207" xr:uid="{00000000-0005-0000-0000-0000CF000000}"/>
    <cellStyle name="s2310" xfId="2286" xr:uid="{00000000-0005-0000-0000-0000EE080000}"/>
    <cellStyle name="s2311" xfId="2287" xr:uid="{00000000-0005-0000-0000-0000EF080000}"/>
    <cellStyle name="s2312" xfId="2288" xr:uid="{00000000-0005-0000-0000-0000F0080000}"/>
    <cellStyle name="s2313" xfId="2289" xr:uid="{00000000-0005-0000-0000-0000F1080000}"/>
    <cellStyle name="s2314" xfId="2290" xr:uid="{00000000-0005-0000-0000-0000F2080000}"/>
    <cellStyle name="s2315" xfId="2291" xr:uid="{00000000-0005-0000-0000-0000F3080000}"/>
    <cellStyle name="s2316" xfId="2292" xr:uid="{00000000-0005-0000-0000-0000F4080000}"/>
    <cellStyle name="s2317" xfId="2293" xr:uid="{00000000-0005-0000-0000-0000F5080000}"/>
    <cellStyle name="s2318" xfId="2294" xr:uid="{00000000-0005-0000-0000-0000F6080000}"/>
    <cellStyle name="s2319" xfId="2295" xr:uid="{00000000-0005-0000-0000-0000F7080000}"/>
    <cellStyle name="s232" xfId="208" xr:uid="{00000000-0005-0000-0000-0000D0000000}"/>
    <cellStyle name="s2320" xfId="2296" xr:uid="{00000000-0005-0000-0000-0000F8080000}"/>
    <cellStyle name="s2321" xfId="2297" xr:uid="{00000000-0005-0000-0000-0000F9080000}"/>
    <cellStyle name="s2322" xfId="2298" xr:uid="{00000000-0005-0000-0000-0000FA080000}"/>
    <cellStyle name="s2323" xfId="2299" xr:uid="{00000000-0005-0000-0000-0000FB080000}"/>
    <cellStyle name="s2324" xfId="2300" xr:uid="{00000000-0005-0000-0000-0000FC080000}"/>
    <cellStyle name="s2325" xfId="2301" xr:uid="{00000000-0005-0000-0000-0000FD080000}"/>
    <cellStyle name="s2326" xfId="2302" xr:uid="{00000000-0005-0000-0000-0000FE080000}"/>
    <cellStyle name="s2327" xfId="2303" xr:uid="{00000000-0005-0000-0000-0000FF080000}"/>
    <cellStyle name="s2328" xfId="2304" xr:uid="{00000000-0005-0000-0000-000000090000}"/>
    <cellStyle name="s2329" xfId="2305" xr:uid="{00000000-0005-0000-0000-000001090000}"/>
    <cellStyle name="s233" xfId="209" xr:uid="{00000000-0005-0000-0000-0000D1000000}"/>
    <cellStyle name="s2330" xfId="2306" xr:uid="{00000000-0005-0000-0000-000002090000}"/>
    <cellStyle name="s2331" xfId="2307" xr:uid="{00000000-0005-0000-0000-000003090000}"/>
    <cellStyle name="s2332" xfId="2308" xr:uid="{00000000-0005-0000-0000-000004090000}"/>
    <cellStyle name="s2333" xfId="2309" xr:uid="{00000000-0005-0000-0000-000005090000}"/>
    <cellStyle name="s2334" xfId="2310" xr:uid="{00000000-0005-0000-0000-000006090000}"/>
    <cellStyle name="s2335" xfId="2311" xr:uid="{00000000-0005-0000-0000-000007090000}"/>
    <cellStyle name="s2336" xfId="2312" xr:uid="{00000000-0005-0000-0000-000008090000}"/>
    <cellStyle name="s2337" xfId="2313" xr:uid="{00000000-0005-0000-0000-000009090000}"/>
    <cellStyle name="s2338" xfId="2314" xr:uid="{00000000-0005-0000-0000-00000A090000}"/>
    <cellStyle name="s2339" xfId="2315" xr:uid="{00000000-0005-0000-0000-00000B090000}"/>
    <cellStyle name="s234" xfId="210" xr:uid="{00000000-0005-0000-0000-0000D2000000}"/>
    <cellStyle name="s2340" xfId="2316" xr:uid="{00000000-0005-0000-0000-00000C090000}"/>
    <cellStyle name="s2341" xfId="2317" xr:uid="{00000000-0005-0000-0000-00000D090000}"/>
    <cellStyle name="s2342" xfId="2318" xr:uid="{00000000-0005-0000-0000-00000E090000}"/>
    <cellStyle name="s2343" xfId="2319" xr:uid="{00000000-0005-0000-0000-00000F090000}"/>
    <cellStyle name="s2344" xfId="2320" xr:uid="{00000000-0005-0000-0000-000010090000}"/>
    <cellStyle name="s2345" xfId="2321" xr:uid="{00000000-0005-0000-0000-000011090000}"/>
    <cellStyle name="s2346" xfId="2322" xr:uid="{00000000-0005-0000-0000-000012090000}"/>
    <cellStyle name="s2347" xfId="2323" xr:uid="{00000000-0005-0000-0000-000013090000}"/>
    <cellStyle name="s2348" xfId="2324" xr:uid="{00000000-0005-0000-0000-000014090000}"/>
    <cellStyle name="s2349" xfId="2325" xr:uid="{00000000-0005-0000-0000-000015090000}"/>
    <cellStyle name="s235" xfId="211" xr:uid="{00000000-0005-0000-0000-0000D3000000}"/>
    <cellStyle name="s2350" xfId="2326" xr:uid="{00000000-0005-0000-0000-000016090000}"/>
    <cellStyle name="s2351" xfId="2327" xr:uid="{00000000-0005-0000-0000-000017090000}"/>
    <cellStyle name="s2352" xfId="2328" xr:uid="{00000000-0005-0000-0000-000018090000}"/>
    <cellStyle name="s2353" xfId="2329" xr:uid="{00000000-0005-0000-0000-000019090000}"/>
    <cellStyle name="s2354" xfId="2330" xr:uid="{00000000-0005-0000-0000-00001A090000}"/>
    <cellStyle name="s2355" xfId="2331" xr:uid="{00000000-0005-0000-0000-00001B090000}"/>
    <cellStyle name="s2356" xfId="2332" xr:uid="{00000000-0005-0000-0000-00001C090000}"/>
    <cellStyle name="s2357" xfId="2333" xr:uid="{00000000-0005-0000-0000-00001D090000}"/>
    <cellStyle name="s2358" xfId="2334" xr:uid="{00000000-0005-0000-0000-00001E090000}"/>
    <cellStyle name="s2359" xfId="2335" xr:uid="{00000000-0005-0000-0000-00001F090000}"/>
    <cellStyle name="s236" xfId="212" xr:uid="{00000000-0005-0000-0000-0000D4000000}"/>
    <cellStyle name="s2360" xfId="2336" xr:uid="{00000000-0005-0000-0000-000020090000}"/>
    <cellStyle name="s2361" xfId="2337" xr:uid="{00000000-0005-0000-0000-000021090000}"/>
    <cellStyle name="s2362" xfId="2338" xr:uid="{00000000-0005-0000-0000-000022090000}"/>
    <cellStyle name="s2363" xfId="2339" xr:uid="{00000000-0005-0000-0000-000023090000}"/>
    <cellStyle name="s2364" xfId="2340" xr:uid="{00000000-0005-0000-0000-000024090000}"/>
    <cellStyle name="s2365" xfId="2341" xr:uid="{00000000-0005-0000-0000-000025090000}"/>
    <cellStyle name="s2366" xfId="2342" xr:uid="{00000000-0005-0000-0000-000026090000}"/>
    <cellStyle name="s2367" xfId="2343" xr:uid="{00000000-0005-0000-0000-000027090000}"/>
    <cellStyle name="s2368" xfId="2344" xr:uid="{00000000-0005-0000-0000-000028090000}"/>
    <cellStyle name="s2369" xfId="2345" xr:uid="{00000000-0005-0000-0000-000029090000}"/>
    <cellStyle name="s237" xfId="213" xr:uid="{00000000-0005-0000-0000-0000D5000000}"/>
    <cellStyle name="s2370" xfId="2346" xr:uid="{00000000-0005-0000-0000-00002A090000}"/>
    <cellStyle name="s2371" xfId="2347" xr:uid="{00000000-0005-0000-0000-00002B090000}"/>
    <cellStyle name="s2372" xfId="2348" xr:uid="{00000000-0005-0000-0000-00002C090000}"/>
    <cellStyle name="s2373" xfId="2349" xr:uid="{00000000-0005-0000-0000-00002D090000}"/>
    <cellStyle name="s2374" xfId="2350" xr:uid="{00000000-0005-0000-0000-00002E090000}"/>
    <cellStyle name="s2375" xfId="2351" xr:uid="{00000000-0005-0000-0000-00002F090000}"/>
    <cellStyle name="s2376" xfId="2352" xr:uid="{00000000-0005-0000-0000-000030090000}"/>
    <cellStyle name="s2377" xfId="2353" xr:uid="{00000000-0005-0000-0000-000031090000}"/>
    <cellStyle name="s2378" xfId="2354" xr:uid="{00000000-0005-0000-0000-000032090000}"/>
    <cellStyle name="s2379" xfId="2355" xr:uid="{00000000-0005-0000-0000-000033090000}"/>
    <cellStyle name="s238" xfId="214" xr:uid="{00000000-0005-0000-0000-0000D6000000}"/>
    <cellStyle name="s2380" xfId="2356" xr:uid="{00000000-0005-0000-0000-000034090000}"/>
    <cellStyle name="s2381" xfId="2357" xr:uid="{00000000-0005-0000-0000-000035090000}"/>
    <cellStyle name="s2382" xfId="2358" xr:uid="{00000000-0005-0000-0000-000036090000}"/>
    <cellStyle name="s2383" xfId="2359" xr:uid="{00000000-0005-0000-0000-000037090000}"/>
    <cellStyle name="s2384" xfId="2360" xr:uid="{00000000-0005-0000-0000-000038090000}"/>
    <cellStyle name="s2385" xfId="2361" xr:uid="{00000000-0005-0000-0000-000039090000}"/>
    <cellStyle name="s2386" xfId="2362" xr:uid="{00000000-0005-0000-0000-00003A090000}"/>
    <cellStyle name="s2387" xfId="2363" xr:uid="{00000000-0005-0000-0000-00003B090000}"/>
    <cellStyle name="s2388" xfId="2364" xr:uid="{00000000-0005-0000-0000-00003C090000}"/>
    <cellStyle name="s2389" xfId="2365" xr:uid="{00000000-0005-0000-0000-00003D090000}"/>
    <cellStyle name="s239" xfId="215" xr:uid="{00000000-0005-0000-0000-0000D7000000}"/>
    <cellStyle name="s2390" xfId="2366" xr:uid="{00000000-0005-0000-0000-00003E090000}"/>
    <cellStyle name="s2391" xfId="2367" xr:uid="{00000000-0005-0000-0000-00003F090000}"/>
    <cellStyle name="s2392" xfId="2368" xr:uid="{00000000-0005-0000-0000-000040090000}"/>
    <cellStyle name="s2393" xfId="2369" xr:uid="{00000000-0005-0000-0000-000041090000}"/>
    <cellStyle name="s2394" xfId="2370" xr:uid="{00000000-0005-0000-0000-000042090000}"/>
    <cellStyle name="s2395" xfId="2371" xr:uid="{00000000-0005-0000-0000-000043090000}"/>
    <cellStyle name="s2396" xfId="2372" xr:uid="{00000000-0005-0000-0000-000044090000}"/>
    <cellStyle name="s2397" xfId="2373" xr:uid="{00000000-0005-0000-0000-000045090000}"/>
    <cellStyle name="s2398" xfId="2374" xr:uid="{00000000-0005-0000-0000-000046090000}"/>
    <cellStyle name="s2399" xfId="2375" xr:uid="{00000000-0005-0000-0000-000047090000}"/>
    <cellStyle name="s24" xfId="14" xr:uid="{00000000-0005-0000-0000-00000E000000}"/>
    <cellStyle name="s240" xfId="216" xr:uid="{00000000-0005-0000-0000-0000D8000000}"/>
    <cellStyle name="s2400" xfId="2376" xr:uid="{00000000-0005-0000-0000-000048090000}"/>
    <cellStyle name="s2401" xfId="2377" xr:uid="{00000000-0005-0000-0000-000049090000}"/>
    <cellStyle name="s2402" xfId="2378" xr:uid="{00000000-0005-0000-0000-00004A090000}"/>
    <cellStyle name="s2403" xfId="2379" xr:uid="{00000000-0005-0000-0000-00004B090000}"/>
    <cellStyle name="s2404" xfId="2380" xr:uid="{00000000-0005-0000-0000-00004C090000}"/>
    <cellStyle name="s2405" xfId="2381" xr:uid="{00000000-0005-0000-0000-00004D090000}"/>
    <cellStyle name="s2406" xfId="2382" xr:uid="{00000000-0005-0000-0000-00004E090000}"/>
    <cellStyle name="s2407" xfId="2383" xr:uid="{00000000-0005-0000-0000-00004F090000}"/>
    <cellStyle name="s2408" xfId="2384" xr:uid="{00000000-0005-0000-0000-000050090000}"/>
    <cellStyle name="s2409" xfId="2385" xr:uid="{00000000-0005-0000-0000-000051090000}"/>
    <cellStyle name="s241" xfId="217" xr:uid="{00000000-0005-0000-0000-0000D9000000}"/>
    <cellStyle name="s2410" xfId="2386" xr:uid="{00000000-0005-0000-0000-000052090000}"/>
    <cellStyle name="s2411" xfId="2387" xr:uid="{00000000-0005-0000-0000-000053090000}"/>
    <cellStyle name="s2412" xfId="2388" xr:uid="{00000000-0005-0000-0000-000054090000}"/>
    <cellStyle name="s2413" xfId="2389" xr:uid="{00000000-0005-0000-0000-000055090000}"/>
    <cellStyle name="s2414" xfId="2390" xr:uid="{00000000-0005-0000-0000-000056090000}"/>
    <cellStyle name="s2415" xfId="2391" xr:uid="{00000000-0005-0000-0000-000057090000}"/>
    <cellStyle name="s2416" xfId="2392" xr:uid="{00000000-0005-0000-0000-000058090000}"/>
    <cellStyle name="s2417" xfId="2393" xr:uid="{00000000-0005-0000-0000-000059090000}"/>
    <cellStyle name="s2418" xfId="2394" xr:uid="{00000000-0005-0000-0000-00005A090000}"/>
    <cellStyle name="s2419" xfId="2395" xr:uid="{00000000-0005-0000-0000-00005B090000}"/>
    <cellStyle name="s242" xfId="218" xr:uid="{00000000-0005-0000-0000-0000DA000000}"/>
    <cellStyle name="s2420" xfId="2396" xr:uid="{00000000-0005-0000-0000-00005C090000}"/>
    <cellStyle name="s2421" xfId="2397" xr:uid="{00000000-0005-0000-0000-00005D090000}"/>
    <cellStyle name="s2422" xfId="2398" xr:uid="{00000000-0005-0000-0000-00005E090000}"/>
    <cellStyle name="s2423" xfId="2399" xr:uid="{00000000-0005-0000-0000-00005F090000}"/>
    <cellStyle name="s2424" xfId="2400" xr:uid="{00000000-0005-0000-0000-000060090000}"/>
    <cellStyle name="s2425" xfId="2401" xr:uid="{00000000-0005-0000-0000-000061090000}"/>
    <cellStyle name="s2426" xfId="2402" xr:uid="{00000000-0005-0000-0000-000062090000}"/>
    <cellStyle name="s2427" xfId="2403" xr:uid="{00000000-0005-0000-0000-000063090000}"/>
    <cellStyle name="s2428" xfId="2404" xr:uid="{00000000-0005-0000-0000-000064090000}"/>
    <cellStyle name="s2429" xfId="2405" xr:uid="{00000000-0005-0000-0000-000065090000}"/>
    <cellStyle name="s243" xfId="219" xr:uid="{00000000-0005-0000-0000-0000DB000000}"/>
    <cellStyle name="s2430" xfId="2406" xr:uid="{00000000-0005-0000-0000-000066090000}"/>
    <cellStyle name="s2431" xfId="2407" xr:uid="{00000000-0005-0000-0000-000067090000}"/>
    <cellStyle name="s2432" xfId="2408" xr:uid="{00000000-0005-0000-0000-000068090000}"/>
    <cellStyle name="s2433" xfId="2409" xr:uid="{00000000-0005-0000-0000-000069090000}"/>
    <cellStyle name="s2434" xfId="2410" xr:uid="{00000000-0005-0000-0000-00006A090000}"/>
    <cellStyle name="s2435" xfId="2411" xr:uid="{00000000-0005-0000-0000-00006B090000}"/>
    <cellStyle name="s2436" xfId="2412" xr:uid="{00000000-0005-0000-0000-00006C090000}"/>
    <cellStyle name="s2437" xfId="2413" xr:uid="{00000000-0005-0000-0000-00006D090000}"/>
    <cellStyle name="s2438" xfId="2414" xr:uid="{00000000-0005-0000-0000-00006E090000}"/>
    <cellStyle name="s2439" xfId="2415" xr:uid="{00000000-0005-0000-0000-00006F090000}"/>
    <cellStyle name="s244" xfId="220" xr:uid="{00000000-0005-0000-0000-0000DC000000}"/>
    <cellStyle name="s2440" xfId="2416" xr:uid="{00000000-0005-0000-0000-000070090000}"/>
    <cellStyle name="s2441" xfId="2417" xr:uid="{00000000-0005-0000-0000-000071090000}"/>
    <cellStyle name="s2442" xfId="2418" xr:uid="{00000000-0005-0000-0000-000072090000}"/>
    <cellStyle name="s2443" xfId="2419" xr:uid="{00000000-0005-0000-0000-000073090000}"/>
    <cellStyle name="s2444" xfId="2420" xr:uid="{00000000-0005-0000-0000-000074090000}"/>
    <cellStyle name="s2445" xfId="2421" xr:uid="{00000000-0005-0000-0000-000075090000}"/>
    <cellStyle name="s2446" xfId="2422" xr:uid="{00000000-0005-0000-0000-000076090000}"/>
    <cellStyle name="s2447" xfId="2423" xr:uid="{00000000-0005-0000-0000-000077090000}"/>
    <cellStyle name="s2448" xfId="2424" xr:uid="{00000000-0005-0000-0000-000078090000}"/>
    <cellStyle name="s2449" xfId="2425" xr:uid="{00000000-0005-0000-0000-000079090000}"/>
    <cellStyle name="s245" xfId="221" xr:uid="{00000000-0005-0000-0000-0000DD000000}"/>
    <cellStyle name="s2450" xfId="2426" xr:uid="{00000000-0005-0000-0000-00007A090000}"/>
    <cellStyle name="s2451" xfId="2427" xr:uid="{00000000-0005-0000-0000-00007B090000}"/>
    <cellStyle name="s2452" xfId="2428" xr:uid="{00000000-0005-0000-0000-00007C090000}"/>
    <cellStyle name="s2453" xfId="2429" xr:uid="{00000000-0005-0000-0000-00007D090000}"/>
    <cellStyle name="s2454" xfId="2430" xr:uid="{00000000-0005-0000-0000-00007E090000}"/>
    <cellStyle name="s2455" xfId="2431" xr:uid="{00000000-0005-0000-0000-00007F090000}"/>
    <cellStyle name="s2456" xfId="2432" xr:uid="{00000000-0005-0000-0000-000080090000}"/>
    <cellStyle name="s2457" xfId="2433" xr:uid="{00000000-0005-0000-0000-000081090000}"/>
    <cellStyle name="s2458" xfId="2434" xr:uid="{00000000-0005-0000-0000-000082090000}"/>
    <cellStyle name="s2459" xfId="2435" xr:uid="{00000000-0005-0000-0000-000083090000}"/>
    <cellStyle name="s246" xfId="222" xr:uid="{00000000-0005-0000-0000-0000DE000000}"/>
    <cellStyle name="s2460" xfId="2436" xr:uid="{00000000-0005-0000-0000-000084090000}"/>
    <cellStyle name="s2461" xfId="2437" xr:uid="{00000000-0005-0000-0000-000085090000}"/>
    <cellStyle name="s2462" xfId="2438" xr:uid="{00000000-0005-0000-0000-000086090000}"/>
    <cellStyle name="s2463" xfId="2439" xr:uid="{00000000-0005-0000-0000-000087090000}"/>
    <cellStyle name="s2464" xfId="2440" xr:uid="{00000000-0005-0000-0000-000088090000}"/>
    <cellStyle name="s2465" xfId="2441" xr:uid="{00000000-0005-0000-0000-000089090000}"/>
    <cellStyle name="s2466" xfId="2442" xr:uid="{00000000-0005-0000-0000-00008A090000}"/>
    <cellStyle name="s2467" xfId="2443" xr:uid="{00000000-0005-0000-0000-00008B090000}"/>
    <cellStyle name="s2468" xfId="2444" xr:uid="{00000000-0005-0000-0000-00008C090000}"/>
    <cellStyle name="s2469" xfId="2445" xr:uid="{00000000-0005-0000-0000-00008D090000}"/>
    <cellStyle name="s247" xfId="223" xr:uid="{00000000-0005-0000-0000-0000DF000000}"/>
    <cellStyle name="s2470" xfId="2446" xr:uid="{00000000-0005-0000-0000-00008E090000}"/>
    <cellStyle name="s2471" xfId="2447" xr:uid="{00000000-0005-0000-0000-00008F090000}"/>
    <cellStyle name="s2472" xfId="2448" xr:uid="{00000000-0005-0000-0000-000090090000}"/>
    <cellStyle name="s2473" xfId="2449" xr:uid="{00000000-0005-0000-0000-000091090000}"/>
    <cellStyle name="s2474" xfId="2450" xr:uid="{00000000-0005-0000-0000-000092090000}"/>
    <cellStyle name="s2475" xfId="2451" xr:uid="{00000000-0005-0000-0000-000093090000}"/>
    <cellStyle name="s2476" xfId="2452" xr:uid="{00000000-0005-0000-0000-000094090000}"/>
    <cellStyle name="s2477" xfId="2453" xr:uid="{00000000-0005-0000-0000-000095090000}"/>
    <cellStyle name="s2478" xfId="2454" xr:uid="{00000000-0005-0000-0000-000096090000}"/>
    <cellStyle name="s2479" xfId="2455" xr:uid="{00000000-0005-0000-0000-000097090000}"/>
    <cellStyle name="s248" xfId="224" xr:uid="{00000000-0005-0000-0000-0000E0000000}"/>
    <cellStyle name="s2480" xfId="2456" xr:uid="{00000000-0005-0000-0000-000098090000}"/>
    <cellStyle name="s2481" xfId="2457" xr:uid="{00000000-0005-0000-0000-000099090000}"/>
    <cellStyle name="s2482" xfId="2458" xr:uid="{00000000-0005-0000-0000-00009A090000}"/>
    <cellStyle name="s2483" xfId="2459" xr:uid="{00000000-0005-0000-0000-00009B090000}"/>
    <cellStyle name="s2484" xfId="2460" xr:uid="{00000000-0005-0000-0000-00009C090000}"/>
    <cellStyle name="s2485" xfId="2461" xr:uid="{00000000-0005-0000-0000-00009D090000}"/>
    <cellStyle name="s2486" xfId="2462" xr:uid="{00000000-0005-0000-0000-00009E090000}"/>
    <cellStyle name="s2487" xfId="2463" xr:uid="{00000000-0005-0000-0000-00009F090000}"/>
    <cellStyle name="s2488" xfId="2464" xr:uid="{00000000-0005-0000-0000-0000A0090000}"/>
    <cellStyle name="s2489" xfId="2465" xr:uid="{00000000-0005-0000-0000-0000A1090000}"/>
    <cellStyle name="s249" xfId="225" xr:uid="{00000000-0005-0000-0000-0000E1000000}"/>
    <cellStyle name="s2490" xfId="2466" xr:uid="{00000000-0005-0000-0000-0000A2090000}"/>
    <cellStyle name="s2491" xfId="2467" xr:uid="{00000000-0005-0000-0000-0000A3090000}"/>
    <cellStyle name="s2492" xfId="2468" xr:uid="{00000000-0005-0000-0000-0000A4090000}"/>
    <cellStyle name="s2493" xfId="2469" xr:uid="{00000000-0005-0000-0000-0000A5090000}"/>
    <cellStyle name="s2494" xfId="2470" xr:uid="{00000000-0005-0000-0000-0000A6090000}"/>
    <cellStyle name="s2495" xfId="2471" xr:uid="{00000000-0005-0000-0000-0000A7090000}"/>
    <cellStyle name="s2496" xfId="2472" xr:uid="{00000000-0005-0000-0000-0000A8090000}"/>
    <cellStyle name="s2497" xfId="2473" xr:uid="{00000000-0005-0000-0000-0000A9090000}"/>
    <cellStyle name="s2498" xfId="2474" xr:uid="{00000000-0005-0000-0000-0000AA090000}"/>
    <cellStyle name="s2499" xfId="2475" xr:uid="{00000000-0005-0000-0000-0000AB090000}"/>
    <cellStyle name="s25" xfId="15" xr:uid="{00000000-0005-0000-0000-00000F000000}"/>
    <cellStyle name="s250" xfId="226" xr:uid="{00000000-0005-0000-0000-0000E2000000}"/>
    <cellStyle name="s2500" xfId="2476" xr:uid="{00000000-0005-0000-0000-0000AC090000}"/>
    <cellStyle name="s2501" xfId="2477" xr:uid="{00000000-0005-0000-0000-0000AD090000}"/>
    <cellStyle name="s2502" xfId="2478" xr:uid="{00000000-0005-0000-0000-0000AE090000}"/>
    <cellStyle name="s2503" xfId="2479" xr:uid="{00000000-0005-0000-0000-0000AF090000}"/>
    <cellStyle name="s2504" xfId="2480" xr:uid="{00000000-0005-0000-0000-0000B0090000}"/>
    <cellStyle name="s2505" xfId="2481" xr:uid="{00000000-0005-0000-0000-0000B1090000}"/>
    <cellStyle name="s2506" xfId="2482" xr:uid="{00000000-0005-0000-0000-0000B2090000}"/>
    <cellStyle name="s2507" xfId="2483" xr:uid="{00000000-0005-0000-0000-0000B3090000}"/>
    <cellStyle name="s2508" xfId="2484" xr:uid="{00000000-0005-0000-0000-0000B4090000}"/>
    <cellStyle name="s2509" xfId="2485" xr:uid="{00000000-0005-0000-0000-0000B5090000}"/>
    <cellStyle name="s251" xfId="227" xr:uid="{00000000-0005-0000-0000-0000E3000000}"/>
    <cellStyle name="s2510" xfId="2486" xr:uid="{00000000-0005-0000-0000-0000B6090000}"/>
    <cellStyle name="s2511" xfId="2487" xr:uid="{00000000-0005-0000-0000-0000B7090000}"/>
    <cellStyle name="s2512" xfId="2488" xr:uid="{00000000-0005-0000-0000-0000B8090000}"/>
    <cellStyle name="s2513" xfId="2489" xr:uid="{00000000-0005-0000-0000-0000B9090000}"/>
    <cellStyle name="s2514" xfId="2490" xr:uid="{00000000-0005-0000-0000-0000BA090000}"/>
    <cellStyle name="s2515" xfId="2491" xr:uid="{00000000-0005-0000-0000-0000BB090000}"/>
    <cellStyle name="s2516" xfId="2492" xr:uid="{00000000-0005-0000-0000-0000BC090000}"/>
    <cellStyle name="s2517" xfId="2493" xr:uid="{00000000-0005-0000-0000-0000BD090000}"/>
    <cellStyle name="s2518" xfId="2494" xr:uid="{00000000-0005-0000-0000-0000BE090000}"/>
    <cellStyle name="s2519" xfId="2495" xr:uid="{00000000-0005-0000-0000-0000BF090000}"/>
    <cellStyle name="s252" xfId="228" xr:uid="{00000000-0005-0000-0000-0000E4000000}"/>
    <cellStyle name="s2520" xfId="2496" xr:uid="{00000000-0005-0000-0000-0000C0090000}"/>
    <cellStyle name="s2521" xfId="2497" xr:uid="{00000000-0005-0000-0000-0000C1090000}"/>
    <cellStyle name="s2522" xfId="2498" xr:uid="{00000000-0005-0000-0000-0000C2090000}"/>
    <cellStyle name="s2523" xfId="2499" xr:uid="{00000000-0005-0000-0000-0000C3090000}"/>
    <cellStyle name="s2524" xfId="2500" xr:uid="{00000000-0005-0000-0000-0000C4090000}"/>
    <cellStyle name="s2525" xfId="2501" xr:uid="{00000000-0005-0000-0000-0000C5090000}"/>
    <cellStyle name="s2526" xfId="2502" xr:uid="{00000000-0005-0000-0000-0000C6090000}"/>
    <cellStyle name="s2527" xfId="2503" xr:uid="{00000000-0005-0000-0000-0000C7090000}"/>
    <cellStyle name="s2528" xfId="2504" xr:uid="{00000000-0005-0000-0000-0000C8090000}"/>
    <cellStyle name="s2529" xfId="2505" xr:uid="{00000000-0005-0000-0000-0000C9090000}"/>
    <cellStyle name="s253" xfId="229" xr:uid="{00000000-0005-0000-0000-0000E5000000}"/>
    <cellStyle name="s2530" xfId="2506" xr:uid="{00000000-0005-0000-0000-0000CA090000}"/>
    <cellStyle name="s2531" xfId="2507" xr:uid="{00000000-0005-0000-0000-0000CB090000}"/>
    <cellStyle name="s2532" xfId="2508" xr:uid="{00000000-0005-0000-0000-0000CC090000}"/>
    <cellStyle name="s2533" xfId="2509" xr:uid="{00000000-0005-0000-0000-0000CD090000}"/>
    <cellStyle name="s2534" xfId="2510" xr:uid="{00000000-0005-0000-0000-0000CE090000}"/>
    <cellStyle name="s2535" xfId="2511" xr:uid="{00000000-0005-0000-0000-0000CF090000}"/>
    <cellStyle name="s2536" xfId="2512" xr:uid="{00000000-0005-0000-0000-0000D0090000}"/>
    <cellStyle name="s2537" xfId="2513" xr:uid="{00000000-0005-0000-0000-0000D1090000}"/>
    <cellStyle name="s2538" xfId="2514" xr:uid="{00000000-0005-0000-0000-0000D2090000}"/>
    <cellStyle name="s2539" xfId="2515" xr:uid="{00000000-0005-0000-0000-0000D3090000}"/>
    <cellStyle name="s254" xfId="230" xr:uid="{00000000-0005-0000-0000-0000E6000000}"/>
    <cellStyle name="s2540" xfId="2516" xr:uid="{00000000-0005-0000-0000-0000D4090000}"/>
    <cellStyle name="s2541" xfId="2517" xr:uid="{00000000-0005-0000-0000-0000D5090000}"/>
    <cellStyle name="s2542" xfId="2518" xr:uid="{00000000-0005-0000-0000-0000D6090000}"/>
    <cellStyle name="s2543" xfId="2519" xr:uid="{00000000-0005-0000-0000-0000D7090000}"/>
    <cellStyle name="s2544" xfId="2520" xr:uid="{00000000-0005-0000-0000-0000D8090000}"/>
    <cellStyle name="s2545" xfId="2521" xr:uid="{00000000-0005-0000-0000-0000D9090000}"/>
    <cellStyle name="s2546" xfId="2522" xr:uid="{00000000-0005-0000-0000-0000DA090000}"/>
    <cellStyle name="s2547" xfId="2523" xr:uid="{00000000-0005-0000-0000-0000DB090000}"/>
    <cellStyle name="s2548" xfId="2524" xr:uid="{00000000-0005-0000-0000-0000DC090000}"/>
    <cellStyle name="s2549" xfId="2525" xr:uid="{00000000-0005-0000-0000-0000DD090000}"/>
    <cellStyle name="s255" xfId="231" xr:uid="{00000000-0005-0000-0000-0000E7000000}"/>
    <cellStyle name="s2550" xfId="2526" xr:uid="{00000000-0005-0000-0000-0000DE090000}"/>
    <cellStyle name="s2551" xfId="2527" xr:uid="{00000000-0005-0000-0000-0000DF090000}"/>
    <cellStyle name="s2552" xfId="2528" xr:uid="{00000000-0005-0000-0000-0000E0090000}"/>
    <cellStyle name="s2553" xfId="2529" xr:uid="{00000000-0005-0000-0000-0000E1090000}"/>
    <cellStyle name="s2554" xfId="2530" xr:uid="{00000000-0005-0000-0000-0000E2090000}"/>
    <cellStyle name="s2555" xfId="2531" xr:uid="{00000000-0005-0000-0000-0000E3090000}"/>
    <cellStyle name="s2556" xfId="2532" xr:uid="{00000000-0005-0000-0000-0000E4090000}"/>
    <cellStyle name="s256" xfId="232" xr:uid="{00000000-0005-0000-0000-0000E8000000}"/>
    <cellStyle name="s257" xfId="233" xr:uid="{00000000-0005-0000-0000-0000E9000000}"/>
    <cellStyle name="s258" xfId="234" xr:uid="{00000000-0005-0000-0000-0000EA000000}"/>
    <cellStyle name="s259" xfId="235" xr:uid="{00000000-0005-0000-0000-0000EB000000}"/>
    <cellStyle name="s26" xfId="16" xr:uid="{00000000-0005-0000-0000-000010000000}"/>
    <cellStyle name="s260" xfId="236" xr:uid="{00000000-0005-0000-0000-0000EC000000}"/>
    <cellStyle name="s261" xfId="237" xr:uid="{00000000-0005-0000-0000-0000ED000000}"/>
    <cellStyle name="s262" xfId="238" xr:uid="{00000000-0005-0000-0000-0000EE000000}"/>
    <cellStyle name="s263" xfId="239" xr:uid="{00000000-0005-0000-0000-0000EF000000}"/>
    <cellStyle name="s264" xfId="240" xr:uid="{00000000-0005-0000-0000-0000F0000000}"/>
    <cellStyle name="s265" xfId="241" xr:uid="{00000000-0005-0000-0000-0000F1000000}"/>
    <cellStyle name="s266" xfId="242" xr:uid="{00000000-0005-0000-0000-0000F2000000}"/>
    <cellStyle name="s267" xfId="243" xr:uid="{00000000-0005-0000-0000-0000F3000000}"/>
    <cellStyle name="s268" xfId="244" xr:uid="{00000000-0005-0000-0000-0000F4000000}"/>
    <cellStyle name="s269" xfId="245" xr:uid="{00000000-0005-0000-0000-0000F5000000}"/>
    <cellStyle name="s27" xfId="17" xr:uid="{00000000-0005-0000-0000-000011000000}"/>
    <cellStyle name="s270" xfId="246" xr:uid="{00000000-0005-0000-0000-0000F6000000}"/>
    <cellStyle name="s271" xfId="247" xr:uid="{00000000-0005-0000-0000-0000F7000000}"/>
    <cellStyle name="s272" xfId="248" xr:uid="{00000000-0005-0000-0000-0000F8000000}"/>
    <cellStyle name="s273" xfId="249" xr:uid="{00000000-0005-0000-0000-0000F9000000}"/>
    <cellStyle name="s274" xfId="250" xr:uid="{00000000-0005-0000-0000-0000FA000000}"/>
    <cellStyle name="s275" xfId="251" xr:uid="{00000000-0005-0000-0000-0000FB000000}"/>
    <cellStyle name="s276" xfId="252" xr:uid="{00000000-0005-0000-0000-0000FC000000}"/>
    <cellStyle name="s277" xfId="253" xr:uid="{00000000-0005-0000-0000-0000FD000000}"/>
    <cellStyle name="s278" xfId="254" xr:uid="{00000000-0005-0000-0000-0000FE000000}"/>
    <cellStyle name="s279" xfId="255" xr:uid="{00000000-0005-0000-0000-0000FF000000}"/>
    <cellStyle name="s28" xfId="18" xr:uid="{00000000-0005-0000-0000-000012000000}"/>
    <cellStyle name="s280" xfId="256" xr:uid="{00000000-0005-0000-0000-000000010000}"/>
    <cellStyle name="s281" xfId="257" xr:uid="{00000000-0005-0000-0000-000001010000}"/>
    <cellStyle name="s282" xfId="258" xr:uid="{00000000-0005-0000-0000-000002010000}"/>
    <cellStyle name="s283" xfId="259" xr:uid="{00000000-0005-0000-0000-000003010000}"/>
    <cellStyle name="s284" xfId="260" xr:uid="{00000000-0005-0000-0000-000004010000}"/>
    <cellStyle name="s285" xfId="261" xr:uid="{00000000-0005-0000-0000-000005010000}"/>
    <cellStyle name="s286" xfId="262" xr:uid="{00000000-0005-0000-0000-000006010000}"/>
    <cellStyle name="s287" xfId="263" xr:uid="{00000000-0005-0000-0000-000007010000}"/>
    <cellStyle name="s288" xfId="264" xr:uid="{00000000-0005-0000-0000-000008010000}"/>
    <cellStyle name="s289" xfId="265" xr:uid="{00000000-0005-0000-0000-000009010000}"/>
    <cellStyle name="s290" xfId="266" xr:uid="{00000000-0005-0000-0000-00000A010000}"/>
    <cellStyle name="s291" xfId="267" xr:uid="{00000000-0005-0000-0000-00000B010000}"/>
    <cellStyle name="s292" xfId="268" xr:uid="{00000000-0005-0000-0000-00000C010000}"/>
    <cellStyle name="s293" xfId="269" xr:uid="{00000000-0005-0000-0000-00000D010000}"/>
    <cellStyle name="s294" xfId="270" xr:uid="{00000000-0005-0000-0000-00000E010000}"/>
    <cellStyle name="s295" xfId="271" xr:uid="{00000000-0005-0000-0000-00000F010000}"/>
    <cellStyle name="s296" xfId="272" xr:uid="{00000000-0005-0000-0000-000010010000}"/>
    <cellStyle name="s297" xfId="273" xr:uid="{00000000-0005-0000-0000-000011010000}"/>
    <cellStyle name="s298" xfId="274" xr:uid="{00000000-0005-0000-0000-000012010000}"/>
    <cellStyle name="s299" xfId="275" xr:uid="{00000000-0005-0000-0000-000013010000}"/>
    <cellStyle name="s3" xfId="2535" xr:uid="{00000000-0005-0000-0000-0000E7090000}"/>
    <cellStyle name="s300" xfId="276" xr:uid="{00000000-0005-0000-0000-000014010000}"/>
    <cellStyle name="s301" xfId="277" xr:uid="{00000000-0005-0000-0000-000015010000}"/>
    <cellStyle name="s302" xfId="278" xr:uid="{00000000-0005-0000-0000-000016010000}"/>
    <cellStyle name="s303" xfId="279" xr:uid="{00000000-0005-0000-0000-000017010000}"/>
    <cellStyle name="s304" xfId="280" xr:uid="{00000000-0005-0000-0000-000018010000}"/>
    <cellStyle name="s305" xfId="281" xr:uid="{00000000-0005-0000-0000-000019010000}"/>
    <cellStyle name="s306" xfId="282" xr:uid="{00000000-0005-0000-0000-00001A010000}"/>
    <cellStyle name="s307" xfId="283" xr:uid="{00000000-0005-0000-0000-00001B010000}"/>
    <cellStyle name="s308" xfId="284" xr:uid="{00000000-0005-0000-0000-00001C010000}"/>
    <cellStyle name="s309" xfId="285" xr:uid="{00000000-0005-0000-0000-00001D010000}"/>
    <cellStyle name="s310" xfId="286" xr:uid="{00000000-0005-0000-0000-00001E010000}"/>
    <cellStyle name="s311" xfId="287" xr:uid="{00000000-0005-0000-0000-00001F010000}"/>
    <cellStyle name="s312" xfId="288" xr:uid="{00000000-0005-0000-0000-000020010000}"/>
    <cellStyle name="s313" xfId="289" xr:uid="{00000000-0005-0000-0000-000021010000}"/>
    <cellStyle name="s314" xfId="290" xr:uid="{00000000-0005-0000-0000-000022010000}"/>
    <cellStyle name="s315" xfId="291" xr:uid="{00000000-0005-0000-0000-000023010000}"/>
    <cellStyle name="s316" xfId="292" xr:uid="{00000000-0005-0000-0000-000024010000}"/>
    <cellStyle name="s317" xfId="293" xr:uid="{00000000-0005-0000-0000-000025010000}"/>
    <cellStyle name="s318" xfId="294" xr:uid="{00000000-0005-0000-0000-000026010000}"/>
    <cellStyle name="s319" xfId="295" xr:uid="{00000000-0005-0000-0000-000027010000}"/>
    <cellStyle name="s320" xfId="296" xr:uid="{00000000-0005-0000-0000-000028010000}"/>
    <cellStyle name="s321" xfId="297" xr:uid="{00000000-0005-0000-0000-000029010000}"/>
    <cellStyle name="s322" xfId="298" xr:uid="{00000000-0005-0000-0000-00002A010000}"/>
    <cellStyle name="s323" xfId="299" xr:uid="{00000000-0005-0000-0000-00002B010000}"/>
    <cellStyle name="s324" xfId="300" xr:uid="{00000000-0005-0000-0000-00002C010000}"/>
    <cellStyle name="s325" xfId="301" xr:uid="{00000000-0005-0000-0000-00002D010000}"/>
    <cellStyle name="s326" xfId="302" xr:uid="{00000000-0005-0000-0000-00002E010000}"/>
    <cellStyle name="s327" xfId="303" xr:uid="{00000000-0005-0000-0000-00002F010000}"/>
    <cellStyle name="s328" xfId="304" xr:uid="{00000000-0005-0000-0000-000030010000}"/>
    <cellStyle name="s329" xfId="305" xr:uid="{00000000-0005-0000-0000-000031010000}"/>
    <cellStyle name="s330" xfId="306" xr:uid="{00000000-0005-0000-0000-000032010000}"/>
    <cellStyle name="s331" xfId="307" xr:uid="{00000000-0005-0000-0000-000033010000}"/>
    <cellStyle name="s332" xfId="308" xr:uid="{00000000-0005-0000-0000-000034010000}"/>
    <cellStyle name="s333" xfId="309" xr:uid="{00000000-0005-0000-0000-000035010000}"/>
    <cellStyle name="s334" xfId="310" xr:uid="{00000000-0005-0000-0000-000036010000}"/>
    <cellStyle name="s335" xfId="311" xr:uid="{00000000-0005-0000-0000-000037010000}"/>
    <cellStyle name="s336" xfId="312" xr:uid="{00000000-0005-0000-0000-000038010000}"/>
    <cellStyle name="s337" xfId="313" xr:uid="{00000000-0005-0000-0000-000039010000}"/>
    <cellStyle name="s338" xfId="314" xr:uid="{00000000-0005-0000-0000-00003A010000}"/>
    <cellStyle name="s339" xfId="315" xr:uid="{00000000-0005-0000-0000-00003B010000}"/>
    <cellStyle name="s340" xfId="316" xr:uid="{00000000-0005-0000-0000-00003C010000}"/>
    <cellStyle name="s341" xfId="317" xr:uid="{00000000-0005-0000-0000-00003D010000}"/>
    <cellStyle name="s342" xfId="318" xr:uid="{00000000-0005-0000-0000-00003E010000}"/>
    <cellStyle name="s343" xfId="319" xr:uid="{00000000-0005-0000-0000-00003F010000}"/>
    <cellStyle name="s344" xfId="320" xr:uid="{00000000-0005-0000-0000-000040010000}"/>
    <cellStyle name="s345" xfId="321" xr:uid="{00000000-0005-0000-0000-000041010000}"/>
    <cellStyle name="s346" xfId="322" xr:uid="{00000000-0005-0000-0000-000042010000}"/>
    <cellStyle name="s347" xfId="323" xr:uid="{00000000-0005-0000-0000-000043010000}"/>
    <cellStyle name="s348" xfId="324" xr:uid="{00000000-0005-0000-0000-000044010000}"/>
    <cellStyle name="s349" xfId="325" xr:uid="{00000000-0005-0000-0000-000045010000}"/>
    <cellStyle name="s350" xfId="326" xr:uid="{00000000-0005-0000-0000-000046010000}"/>
    <cellStyle name="s351" xfId="327" xr:uid="{00000000-0005-0000-0000-000047010000}"/>
    <cellStyle name="s352" xfId="328" xr:uid="{00000000-0005-0000-0000-000048010000}"/>
    <cellStyle name="s353" xfId="329" xr:uid="{00000000-0005-0000-0000-000049010000}"/>
    <cellStyle name="s354" xfId="330" xr:uid="{00000000-0005-0000-0000-00004A010000}"/>
    <cellStyle name="s355" xfId="331" xr:uid="{00000000-0005-0000-0000-00004B010000}"/>
    <cellStyle name="s356" xfId="332" xr:uid="{00000000-0005-0000-0000-00004C010000}"/>
    <cellStyle name="s357" xfId="333" xr:uid="{00000000-0005-0000-0000-00004D010000}"/>
    <cellStyle name="s358" xfId="334" xr:uid="{00000000-0005-0000-0000-00004E010000}"/>
    <cellStyle name="s359" xfId="335" xr:uid="{00000000-0005-0000-0000-00004F010000}"/>
    <cellStyle name="s360" xfId="336" xr:uid="{00000000-0005-0000-0000-000050010000}"/>
    <cellStyle name="s361" xfId="337" xr:uid="{00000000-0005-0000-0000-000051010000}"/>
    <cellStyle name="s362" xfId="338" xr:uid="{00000000-0005-0000-0000-000052010000}"/>
    <cellStyle name="s363" xfId="339" xr:uid="{00000000-0005-0000-0000-000053010000}"/>
    <cellStyle name="s364" xfId="340" xr:uid="{00000000-0005-0000-0000-000054010000}"/>
    <cellStyle name="s365" xfId="341" xr:uid="{00000000-0005-0000-0000-000055010000}"/>
    <cellStyle name="s366" xfId="342" xr:uid="{00000000-0005-0000-0000-000056010000}"/>
    <cellStyle name="s367" xfId="343" xr:uid="{00000000-0005-0000-0000-000057010000}"/>
    <cellStyle name="s368" xfId="344" xr:uid="{00000000-0005-0000-0000-000058010000}"/>
    <cellStyle name="s369" xfId="345" xr:uid="{00000000-0005-0000-0000-000059010000}"/>
    <cellStyle name="s370" xfId="346" xr:uid="{00000000-0005-0000-0000-00005A010000}"/>
    <cellStyle name="s371" xfId="347" xr:uid="{00000000-0005-0000-0000-00005B010000}"/>
    <cellStyle name="s372" xfId="348" xr:uid="{00000000-0005-0000-0000-00005C010000}"/>
    <cellStyle name="s373" xfId="349" xr:uid="{00000000-0005-0000-0000-00005D010000}"/>
    <cellStyle name="s374" xfId="350" xr:uid="{00000000-0005-0000-0000-00005E010000}"/>
    <cellStyle name="s375" xfId="351" xr:uid="{00000000-0005-0000-0000-00005F010000}"/>
    <cellStyle name="s376" xfId="352" xr:uid="{00000000-0005-0000-0000-000060010000}"/>
    <cellStyle name="s377" xfId="353" xr:uid="{00000000-0005-0000-0000-000061010000}"/>
    <cellStyle name="s378" xfId="354" xr:uid="{00000000-0005-0000-0000-000062010000}"/>
    <cellStyle name="s379" xfId="355" xr:uid="{00000000-0005-0000-0000-000063010000}"/>
    <cellStyle name="s380" xfId="356" xr:uid="{00000000-0005-0000-0000-000064010000}"/>
    <cellStyle name="s381" xfId="357" xr:uid="{00000000-0005-0000-0000-000065010000}"/>
    <cellStyle name="s382" xfId="358" xr:uid="{00000000-0005-0000-0000-000066010000}"/>
    <cellStyle name="s383" xfId="359" xr:uid="{00000000-0005-0000-0000-000067010000}"/>
    <cellStyle name="s384" xfId="360" xr:uid="{00000000-0005-0000-0000-000068010000}"/>
    <cellStyle name="s385" xfId="361" xr:uid="{00000000-0005-0000-0000-000069010000}"/>
    <cellStyle name="s386" xfId="362" xr:uid="{00000000-0005-0000-0000-00006A010000}"/>
    <cellStyle name="s387" xfId="363" xr:uid="{00000000-0005-0000-0000-00006B010000}"/>
    <cellStyle name="s388" xfId="364" xr:uid="{00000000-0005-0000-0000-00006C010000}"/>
    <cellStyle name="s389" xfId="365" xr:uid="{00000000-0005-0000-0000-00006D010000}"/>
    <cellStyle name="s390" xfId="366" xr:uid="{00000000-0005-0000-0000-00006E010000}"/>
    <cellStyle name="s391" xfId="367" xr:uid="{00000000-0005-0000-0000-00006F010000}"/>
    <cellStyle name="s392" xfId="368" xr:uid="{00000000-0005-0000-0000-000070010000}"/>
    <cellStyle name="s393" xfId="369" xr:uid="{00000000-0005-0000-0000-000071010000}"/>
    <cellStyle name="s394" xfId="370" xr:uid="{00000000-0005-0000-0000-000072010000}"/>
    <cellStyle name="s395" xfId="371" xr:uid="{00000000-0005-0000-0000-000073010000}"/>
    <cellStyle name="s396" xfId="372" xr:uid="{00000000-0005-0000-0000-000074010000}"/>
    <cellStyle name="s397" xfId="373" xr:uid="{00000000-0005-0000-0000-000075010000}"/>
    <cellStyle name="s398" xfId="374" xr:uid="{00000000-0005-0000-0000-000076010000}"/>
    <cellStyle name="s399" xfId="375" xr:uid="{00000000-0005-0000-0000-000077010000}"/>
    <cellStyle name="s4" xfId="2536" xr:uid="{00000000-0005-0000-0000-0000E8090000}"/>
    <cellStyle name="s400" xfId="376" xr:uid="{00000000-0005-0000-0000-000078010000}"/>
    <cellStyle name="s401" xfId="377" xr:uid="{00000000-0005-0000-0000-000079010000}"/>
    <cellStyle name="s402" xfId="378" xr:uid="{00000000-0005-0000-0000-00007A010000}"/>
    <cellStyle name="s403" xfId="379" xr:uid="{00000000-0005-0000-0000-00007B010000}"/>
    <cellStyle name="s404" xfId="380" xr:uid="{00000000-0005-0000-0000-00007C010000}"/>
    <cellStyle name="s405" xfId="381" xr:uid="{00000000-0005-0000-0000-00007D010000}"/>
    <cellStyle name="s406" xfId="382" xr:uid="{00000000-0005-0000-0000-00007E010000}"/>
    <cellStyle name="s407" xfId="383" xr:uid="{00000000-0005-0000-0000-00007F010000}"/>
    <cellStyle name="s408" xfId="384" xr:uid="{00000000-0005-0000-0000-000080010000}"/>
    <cellStyle name="s409" xfId="385" xr:uid="{00000000-0005-0000-0000-000081010000}"/>
    <cellStyle name="s410" xfId="386" xr:uid="{00000000-0005-0000-0000-000082010000}"/>
    <cellStyle name="s411" xfId="387" xr:uid="{00000000-0005-0000-0000-000083010000}"/>
    <cellStyle name="s412" xfId="388" xr:uid="{00000000-0005-0000-0000-000084010000}"/>
    <cellStyle name="s413" xfId="389" xr:uid="{00000000-0005-0000-0000-000085010000}"/>
    <cellStyle name="s414" xfId="390" xr:uid="{00000000-0005-0000-0000-000086010000}"/>
    <cellStyle name="s415" xfId="391" xr:uid="{00000000-0005-0000-0000-000087010000}"/>
    <cellStyle name="s416" xfId="392" xr:uid="{00000000-0005-0000-0000-000088010000}"/>
    <cellStyle name="s417" xfId="393" xr:uid="{00000000-0005-0000-0000-000089010000}"/>
    <cellStyle name="s418" xfId="394" xr:uid="{00000000-0005-0000-0000-00008A010000}"/>
    <cellStyle name="s419" xfId="395" xr:uid="{00000000-0005-0000-0000-00008B010000}"/>
    <cellStyle name="s420" xfId="396" xr:uid="{00000000-0005-0000-0000-00008C010000}"/>
    <cellStyle name="s421" xfId="397" xr:uid="{00000000-0005-0000-0000-00008D010000}"/>
    <cellStyle name="s422" xfId="398" xr:uid="{00000000-0005-0000-0000-00008E010000}"/>
    <cellStyle name="s423" xfId="399" xr:uid="{00000000-0005-0000-0000-00008F010000}"/>
    <cellStyle name="s424" xfId="400" xr:uid="{00000000-0005-0000-0000-000090010000}"/>
    <cellStyle name="s425" xfId="401" xr:uid="{00000000-0005-0000-0000-000091010000}"/>
    <cellStyle name="s426" xfId="402" xr:uid="{00000000-0005-0000-0000-000092010000}"/>
    <cellStyle name="s427" xfId="403" xr:uid="{00000000-0005-0000-0000-000093010000}"/>
    <cellStyle name="s428" xfId="404" xr:uid="{00000000-0005-0000-0000-000094010000}"/>
    <cellStyle name="s429" xfId="405" xr:uid="{00000000-0005-0000-0000-000095010000}"/>
    <cellStyle name="s43" xfId="19" xr:uid="{00000000-0005-0000-0000-000013000000}"/>
    <cellStyle name="s430" xfId="406" xr:uid="{00000000-0005-0000-0000-000096010000}"/>
    <cellStyle name="s431" xfId="407" xr:uid="{00000000-0005-0000-0000-000097010000}"/>
    <cellStyle name="s432" xfId="408" xr:uid="{00000000-0005-0000-0000-000098010000}"/>
    <cellStyle name="s433" xfId="409" xr:uid="{00000000-0005-0000-0000-000099010000}"/>
    <cellStyle name="s434" xfId="410" xr:uid="{00000000-0005-0000-0000-00009A010000}"/>
    <cellStyle name="s435" xfId="411" xr:uid="{00000000-0005-0000-0000-00009B010000}"/>
    <cellStyle name="s436" xfId="412" xr:uid="{00000000-0005-0000-0000-00009C010000}"/>
    <cellStyle name="s437" xfId="413" xr:uid="{00000000-0005-0000-0000-00009D010000}"/>
    <cellStyle name="s438" xfId="414" xr:uid="{00000000-0005-0000-0000-00009E010000}"/>
    <cellStyle name="s439" xfId="415" xr:uid="{00000000-0005-0000-0000-00009F010000}"/>
    <cellStyle name="s44" xfId="20" xr:uid="{00000000-0005-0000-0000-000014000000}"/>
    <cellStyle name="s440" xfId="416" xr:uid="{00000000-0005-0000-0000-0000A0010000}"/>
    <cellStyle name="s441" xfId="417" xr:uid="{00000000-0005-0000-0000-0000A1010000}"/>
    <cellStyle name="s442" xfId="418" xr:uid="{00000000-0005-0000-0000-0000A2010000}"/>
    <cellStyle name="s443" xfId="419" xr:uid="{00000000-0005-0000-0000-0000A3010000}"/>
    <cellStyle name="s444" xfId="420" xr:uid="{00000000-0005-0000-0000-0000A4010000}"/>
    <cellStyle name="s445" xfId="421" xr:uid="{00000000-0005-0000-0000-0000A5010000}"/>
    <cellStyle name="s446" xfId="422" xr:uid="{00000000-0005-0000-0000-0000A6010000}"/>
    <cellStyle name="s447" xfId="423" xr:uid="{00000000-0005-0000-0000-0000A7010000}"/>
    <cellStyle name="s448" xfId="424" xr:uid="{00000000-0005-0000-0000-0000A8010000}"/>
    <cellStyle name="s449" xfId="425" xr:uid="{00000000-0005-0000-0000-0000A9010000}"/>
    <cellStyle name="s45" xfId="21" xr:uid="{00000000-0005-0000-0000-000015000000}"/>
    <cellStyle name="s450" xfId="426" xr:uid="{00000000-0005-0000-0000-0000AA010000}"/>
    <cellStyle name="s451" xfId="427" xr:uid="{00000000-0005-0000-0000-0000AB010000}"/>
    <cellStyle name="s452" xfId="428" xr:uid="{00000000-0005-0000-0000-0000AC010000}"/>
    <cellStyle name="s453" xfId="429" xr:uid="{00000000-0005-0000-0000-0000AD010000}"/>
    <cellStyle name="s454" xfId="430" xr:uid="{00000000-0005-0000-0000-0000AE010000}"/>
    <cellStyle name="s455" xfId="431" xr:uid="{00000000-0005-0000-0000-0000AF010000}"/>
    <cellStyle name="s456" xfId="432" xr:uid="{00000000-0005-0000-0000-0000B0010000}"/>
    <cellStyle name="s457" xfId="433" xr:uid="{00000000-0005-0000-0000-0000B1010000}"/>
    <cellStyle name="s458" xfId="434" xr:uid="{00000000-0005-0000-0000-0000B2010000}"/>
    <cellStyle name="s459" xfId="435" xr:uid="{00000000-0005-0000-0000-0000B3010000}"/>
    <cellStyle name="s46" xfId="22" xr:uid="{00000000-0005-0000-0000-000016000000}"/>
    <cellStyle name="s460" xfId="436" xr:uid="{00000000-0005-0000-0000-0000B4010000}"/>
    <cellStyle name="s461" xfId="437" xr:uid="{00000000-0005-0000-0000-0000B5010000}"/>
    <cellStyle name="s462" xfId="438" xr:uid="{00000000-0005-0000-0000-0000B6010000}"/>
    <cellStyle name="s463" xfId="439" xr:uid="{00000000-0005-0000-0000-0000B7010000}"/>
    <cellStyle name="s464" xfId="440" xr:uid="{00000000-0005-0000-0000-0000B8010000}"/>
    <cellStyle name="s465" xfId="441" xr:uid="{00000000-0005-0000-0000-0000B9010000}"/>
    <cellStyle name="s466" xfId="442" xr:uid="{00000000-0005-0000-0000-0000BA010000}"/>
    <cellStyle name="s467" xfId="443" xr:uid="{00000000-0005-0000-0000-0000BB010000}"/>
    <cellStyle name="s468" xfId="444" xr:uid="{00000000-0005-0000-0000-0000BC010000}"/>
    <cellStyle name="s469" xfId="445" xr:uid="{00000000-0005-0000-0000-0000BD010000}"/>
    <cellStyle name="s47" xfId="23" xr:uid="{00000000-0005-0000-0000-000017000000}"/>
    <cellStyle name="s470" xfId="446" xr:uid="{00000000-0005-0000-0000-0000BE010000}"/>
    <cellStyle name="s471" xfId="447" xr:uid="{00000000-0005-0000-0000-0000BF010000}"/>
    <cellStyle name="s472" xfId="448" xr:uid="{00000000-0005-0000-0000-0000C0010000}"/>
    <cellStyle name="s473" xfId="449" xr:uid="{00000000-0005-0000-0000-0000C1010000}"/>
    <cellStyle name="s474" xfId="450" xr:uid="{00000000-0005-0000-0000-0000C2010000}"/>
    <cellStyle name="s475" xfId="451" xr:uid="{00000000-0005-0000-0000-0000C3010000}"/>
    <cellStyle name="s476" xfId="452" xr:uid="{00000000-0005-0000-0000-0000C4010000}"/>
    <cellStyle name="s477" xfId="453" xr:uid="{00000000-0005-0000-0000-0000C5010000}"/>
    <cellStyle name="s478" xfId="454" xr:uid="{00000000-0005-0000-0000-0000C6010000}"/>
    <cellStyle name="s479" xfId="455" xr:uid="{00000000-0005-0000-0000-0000C7010000}"/>
    <cellStyle name="s48" xfId="24" xr:uid="{00000000-0005-0000-0000-000018000000}"/>
    <cellStyle name="s480" xfId="456" xr:uid="{00000000-0005-0000-0000-0000C8010000}"/>
    <cellStyle name="s481" xfId="457" xr:uid="{00000000-0005-0000-0000-0000C9010000}"/>
    <cellStyle name="s482" xfId="458" xr:uid="{00000000-0005-0000-0000-0000CA010000}"/>
    <cellStyle name="s483" xfId="459" xr:uid="{00000000-0005-0000-0000-0000CB010000}"/>
    <cellStyle name="s484" xfId="460" xr:uid="{00000000-0005-0000-0000-0000CC010000}"/>
    <cellStyle name="s485" xfId="461" xr:uid="{00000000-0005-0000-0000-0000CD010000}"/>
    <cellStyle name="s486" xfId="462" xr:uid="{00000000-0005-0000-0000-0000CE010000}"/>
    <cellStyle name="s487" xfId="463" xr:uid="{00000000-0005-0000-0000-0000CF010000}"/>
    <cellStyle name="s488" xfId="464" xr:uid="{00000000-0005-0000-0000-0000D0010000}"/>
    <cellStyle name="s489" xfId="465" xr:uid="{00000000-0005-0000-0000-0000D1010000}"/>
    <cellStyle name="s49" xfId="25" xr:uid="{00000000-0005-0000-0000-000019000000}"/>
    <cellStyle name="s490" xfId="466" xr:uid="{00000000-0005-0000-0000-0000D2010000}"/>
    <cellStyle name="s491" xfId="467" xr:uid="{00000000-0005-0000-0000-0000D3010000}"/>
    <cellStyle name="s492" xfId="468" xr:uid="{00000000-0005-0000-0000-0000D4010000}"/>
    <cellStyle name="s493" xfId="469" xr:uid="{00000000-0005-0000-0000-0000D5010000}"/>
    <cellStyle name="s494" xfId="470" xr:uid="{00000000-0005-0000-0000-0000D6010000}"/>
    <cellStyle name="s495" xfId="471" xr:uid="{00000000-0005-0000-0000-0000D7010000}"/>
    <cellStyle name="s496" xfId="472" xr:uid="{00000000-0005-0000-0000-0000D8010000}"/>
    <cellStyle name="s497" xfId="473" xr:uid="{00000000-0005-0000-0000-0000D9010000}"/>
    <cellStyle name="s498" xfId="474" xr:uid="{00000000-0005-0000-0000-0000DA010000}"/>
    <cellStyle name="s499" xfId="475" xr:uid="{00000000-0005-0000-0000-0000DB010000}"/>
    <cellStyle name="s5" xfId="2537" xr:uid="{00000000-0005-0000-0000-0000E9090000}"/>
    <cellStyle name="s50" xfId="26" xr:uid="{00000000-0005-0000-0000-00001A000000}"/>
    <cellStyle name="s500" xfId="476" xr:uid="{00000000-0005-0000-0000-0000DC010000}"/>
    <cellStyle name="s501" xfId="477" xr:uid="{00000000-0005-0000-0000-0000DD010000}"/>
    <cellStyle name="s502" xfId="478" xr:uid="{00000000-0005-0000-0000-0000DE010000}"/>
    <cellStyle name="s503" xfId="479" xr:uid="{00000000-0005-0000-0000-0000DF010000}"/>
    <cellStyle name="s504" xfId="480" xr:uid="{00000000-0005-0000-0000-0000E0010000}"/>
    <cellStyle name="s505" xfId="481" xr:uid="{00000000-0005-0000-0000-0000E1010000}"/>
    <cellStyle name="s506" xfId="482" xr:uid="{00000000-0005-0000-0000-0000E2010000}"/>
    <cellStyle name="s507" xfId="483" xr:uid="{00000000-0005-0000-0000-0000E3010000}"/>
    <cellStyle name="s508" xfId="484" xr:uid="{00000000-0005-0000-0000-0000E4010000}"/>
    <cellStyle name="s509" xfId="485" xr:uid="{00000000-0005-0000-0000-0000E5010000}"/>
    <cellStyle name="s51" xfId="27" xr:uid="{00000000-0005-0000-0000-00001B000000}"/>
    <cellStyle name="s510" xfId="486" xr:uid="{00000000-0005-0000-0000-0000E6010000}"/>
    <cellStyle name="s511" xfId="487" xr:uid="{00000000-0005-0000-0000-0000E7010000}"/>
    <cellStyle name="s512" xfId="488" xr:uid="{00000000-0005-0000-0000-0000E8010000}"/>
    <cellStyle name="s513" xfId="489" xr:uid="{00000000-0005-0000-0000-0000E9010000}"/>
    <cellStyle name="s514" xfId="490" xr:uid="{00000000-0005-0000-0000-0000EA010000}"/>
    <cellStyle name="s515" xfId="491" xr:uid="{00000000-0005-0000-0000-0000EB010000}"/>
    <cellStyle name="s516" xfId="492" xr:uid="{00000000-0005-0000-0000-0000EC010000}"/>
    <cellStyle name="s517" xfId="493" xr:uid="{00000000-0005-0000-0000-0000ED010000}"/>
    <cellStyle name="s518" xfId="494" xr:uid="{00000000-0005-0000-0000-0000EE010000}"/>
    <cellStyle name="s519" xfId="495" xr:uid="{00000000-0005-0000-0000-0000EF010000}"/>
    <cellStyle name="s52" xfId="28" xr:uid="{00000000-0005-0000-0000-00001C000000}"/>
    <cellStyle name="s520" xfId="496" xr:uid="{00000000-0005-0000-0000-0000F0010000}"/>
    <cellStyle name="s521" xfId="497" xr:uid="{00000000-0005-0000-0000-0000F1010000}"/>
    <cellStyle name="s522" xfId="498" xr:uid="{00000000-0005-0000-0000-0000F2010000}"/>
    <cellStyle name="s523" xfId="499" xr:uid="{00000000-0005-0000-0000-0000F3010000}"/>
    <cellStyle name="s524" xfId="500" xr:uid="{00000000-0005-0000-0000-0000F4010000}"/>
    <cellStyle name="s525" xfId="501" xr:uid="{00000000-0005-0000-0000-0000F5010000}"/>
    <cellStyle name="s526" xfId="502" xr:uid="{00000000-0005-0000-0000-0000F6010000}"/>
    <cellStyle name="s527" xfId="503" xr:uid="{00000000-0005-0000-0000-0000F7010000}"/>
    <cellStyle name="s528" xfId="504" xr:uid="{00000000-0005-0000-0000-0000F8010000}"/>
    <cellStyle name="s529" xfId="505" xr:uid="{00000000-0005-0000-0000-0000F9010000}"/>
    <cellStyle name="s53" xfId="29" xr:uid="{00000000-0005-0000-0000-00001D000000}"/>
    <cellStyle name="s530" xfId="506" xr:uid="{00000000-0005-0000-0000-0000FA010000}"/>
    <cellStyle name="s531" xfId="507" xr:uid="{00000000-0005-0000-0000-0000FB010000}"/>
    <cellStyle name="s532" xfId="508" xr:uid="{00000000-0005-0000-0000-0000FC010000}"/>
    <cellStyle name="s533" xfId="509" xr:uid="{00000000-0005-0000-0000-0000FD010000}"/>
    <cellStyle name="s534" xfId="510" xr:uid="{00000000-0005-0000-0000-0000FE010000}"/>
    <cellStyle name="s535" xfId="511" xr:uid="{00000000-0005-0000-0000-0000FF010000}"/>
    <cellStyle name="s536" xfId="512" xr:uid="{00000000-0005-0000-0000-000000020000}"/>
    <cellStyle name="s537" xfId="513" xr:uid="{00000000-0005-0000-0000-000001020000}"/>
    <cellStyle name="s538" xfId="514" xr:uid="{00000000-0005-0000-0000-000002020000}"/>
    <cellStyle name="s539" xfId="515" xr:uid="{00000000-0005-0000-0000-000003020000}"/>
    <cellStyle name="s54" xfId="30" xr:uid="{00000000-0005-0000-0000-00001E000000}"/>
    <cellStyle name="s540" xfId="516" xr:uid="{00000000-0005-0000-0000-000004020000}"/>
    <cellStyle name="s541" xfId="517" xr:uid="{00000000-0005-0000-0000-000005020000}"/>
    <cellStyle name="s542" xfId="518" xr:uid="{00000000-0005-0000-0000-000006020000}"/>
    <cellStyle name="s543" xfId="519" xr:uid="{00000000-0005-0000-0000-000007020000}"/>
    <cellStyle name="s544" xfId="520" xr:uid="{00000000-0005-0000-0000-000008020000}"/>
    <cellStyle name="s545" xfId="521" xr:uid="{00000000-0005-0000-0000-000009020000}"/>
    <cellStyle name="s546" xfId="522" xr:uid="{00000000-0005-0000-0000-00000A020000}"/>
    <cellStyle name="s547" xfId="523" xr:uid="{00000000-0005-0000-0000-00000B020000}"/>
    <cellStyle name="s548" xfId="524" xr:uid="{00000000-0005-0000-0000-00000C020000}"/>
    <cellStyle name="s549" xfId="525" xr:uid="{00000000-0005-0000-0000-00000D020000}"/>
    <cellStyle name="s55" xfId="31" xr:uid="{00000000-0005-0000-0000-00001F000000}"/>
    <cellStyle name="s550" xfId="526" xr:uid="{00000000-0005-0000-0000-00000E020000}"/>
    <cellStyle name="s551" xfId="527" xr:uid="{00000000-0005-0000-0000-00000F020000}"/>
    <cellStyle name="s552" xfId="528" xr:uid="{00000000-0005-0000-0000-000010020000}"/>
    <cellStyle name="s553" xfId="529" xr:uid="{00000000-0005-0000-0000-000011020000}"/>
    <cellStyle name="s554" xfId="530" xr:uid="{00000000-0005-0000-0000-000012020000}"/>
    <cellStyle name="s555" xfId="531" xr:uid="{00000000-0005-0000-0000-000013020000}"/>
    <cellStyle name="s556" xfId="532" xr:uid="{00000000-0005-0000-0000-000014020000}"/>
    <cellStyle name="s557" xfId="533" xr:uid="{00000000-0005-0000-0000-000015020000}"/>
    <cellStyle name="s558" xfId="534" xr:uid="{00000000-0005-0000-0000-000016020000}"/>
    <cellStyle name="s559" xfId="535" xr:uid="{00000000-0005-0000-0000-000017020000}"/>
    <cellStyle name="s56" xfId="32" xr:uid="{00000000-0005-0000-0000-000020000000}"/>
    <cellStyle name="s560" xfId="536" xr:uid="{00000000-0005-0000-0000-000018020000}"/>
    <cellStyle name="s561" xfId="537" xr:uid="{00000000-0005-0000-0000-000019020000}"/>
    <cellStyle name="s562" xfId="538" xr:uid="{00000000-0005-0000-0000-00001A020000}"/>
    <cellStyle name="s563" xfId="539" xr:uid="{00000000-0005-0000-0000-00001B020000}"/>
    <cellStyle name="s564" xfId="540" xr:uid="{00000000-0005-0000-0000-00001C020000}"/>
    <cellStyle name="s565" xfId="541" xr:uid="{00000000-0005-0000-0000-00001D020000}"/>
    <cellStyle name="s566" xfId="542" xr:uid="{00000000-0005-0000-0000-00001E020000}"/>
    <cellStyle name="s567" xfId="543" xr:uid="{00000000-0005-0000-0000-00001F020000}"/>
    <cellStyle name="s568" xfId="544" xr:uid="{00000000-0005-0000-0000-000020020000}"/>
    <cellStyle name="s569" xfId="545" xr:uid="{00000000-0005-0000-0000-000021020000}"/>
    <cellStyle name="s57" xfId="33" xr:uid="{00000000-0005-0000-0000-000021000000}"/>
    <cellStyle name="s570" xfId="546" xr:uid="{00000000-0005-0000-0000-000022020000}"/>
    <cellStyle name="s571" xfId="547" xr:uid="{00000000-0005-0000-0000-000023020000}"/>
    <cellStyle name="s572" xfId="548" xr:uid="{00000000-0005-0000-0000-000024020000}"/>
    <cellStyle name="s573" xfId="549" xr:uid="{00000000-0005-0000-0000-000025020000}"/>
    <cellStyle name="s574" xfId="550" xr:uid="{00000000-0005-0000-0000-000026020000}"/>
    <cellStyle name="s575" xfId="551" xr:uid="{00000000-0005-0000-0000-000027020000}"/>
    <cellStyle name="s576" xfId="552" xr:uid="{00000000-0005-0000-0000-000028020000}"/>
    <cellStyle name="s577" xfId="553" xr:uid="{00000000-0005-0000-0000-000029020000}"/>
    <cellStyle name="s578" xfId="554" xr:uid="{00000000-0005-0000-0000-00002A020000}"/>
    <cellStyle name="s579" xfId="555" xr:uid="{00000000-0005-0000-0000-00002B020000}"/>
    <cellStyle name="s58" xfId="34" xr:uid="{00000000-0005-0000-0000-000022000000}"/>
    <cellStyle name="s580" xfId="556" xr:uid="{00000000-0005-0000-0000-00002C020000}"/>
    <cellStyle name="s581" xfId="557" xr:uid="{00000000-0005-0000-0000-00002D020000}"/>
    <cellStyle name="s582" xfId="558" xr:uid="{00000000-0005-0000-0000-00002E020000}"/>
    <cellStyle name="s583" xfId="559" xr:uid="{00000000-0005-0000-0000-00002F020000}"/>
    <cellStyle name="s584" xfId="560" xr:uid="{00000000-0005-0000-0000-000030020000}"/>
    <cellStyle name="s585" xfId="561" xr:uid="{00000000-0005-0000-0000-000031020000}"/>
    <cellStyle name="s586" xfId="562" xr:uid="{00000000-0005-0000-0000-000032020000}"/>
    <cellStyle name="s587" xfId="563" xr:uid="{00000000-0005-0000-0000-000033020000}"/>
    <cellStyle name="s588" xfId="564" xr:uid="{00000000-0005-0000-0000-000034020000}"/>
    <cellStyle name="s589" xfId="565" xr:uid="{00000000-0005-0000-0000-000035020000}"/>
    <cellStyle name="s59" xfId="35" xr:uid="{00000000-0005-0000-0000-000023000000}"/>
    <cellStyle name="s590" xfId="566" xr:uid="{00000000-0005-0000-0000-000036020000}"/>
    <cellStyle name="s591" xfId="567" xr:uid="{00000000-0005-0000-0000-000037020000}"/>
    <cellStyle name="s592" xfId="568" xr:uid="{00000000-0005-0000-0000-000038020000}"/>
    <cellStyle name="s593" xfId="569" xr:uid="{00000000-0005-0000-0000-000039020000}"/>
    <cellStyle name="s594" xfId="570" xr:uid="{00000000-0005-0000-0000-00003A020000}"/>
    <cellStyle name="s595" xfId="571" xr:uid="{00000000-0005-0000-0000-00003B020000}"/>
    <cellStyle name="s596" xfId="572" xr:uid="{00000000-0005-0000-0000-00003C020000}"/>
    <cellStyle name="s597" xfId="573" xr:uid="{00000000-0005-0000-0000-00003D020000}"/>
    <cellStyle name="s598" xfId="574" xr:uid="{00000000-0005-0000-0000-00003E020000}"/>
    <cellStyle name="s599" xfId="575" xr:uid="{00000000-0005-0000-0000-00003F020000}"/>
    <cellStyle name="s6" xfId="2538" xr:uid="{00000000-0005-0000-0000-0000EA090000}"/>
    <cellStyle name="s60" xfId="36" xr:uid="{00000000-0005-0000-0000-000024000000}"/>
    <cellStyle name="s600" xfId="576" xr:uid="{00000000-0005-0000-0000-000040020000}"/>
    <cellStyle name="s601" xfId="577" xr:uid="{00000000-0005-0000-0000-000041020000}"/>
    <cellStyle name="s602" xfId="578" xr:uid="{00000000-0005-0000-0000-000042020000}"/>
    <cellStyle name="s603" xfId="579" xr:uid="{00000000-0005-0000-0000-000043020000}"/>
    <cellStyle name="s604" xfId="580" xr:uid="{00000000-0005-0000-0000-000044020000}"/>
    <cellStyle name="s605" xfId="581" xr:uid="{00000000-0005-0000-0000-000045020000}"/>
    <cellStyle name="s606" xfId="582" xr:uid="{00000000-0005-0000-0000-000046020000}"/>
    <cellStyle name="s607" xfId="583" xr:uid="{00000000-0005-0000-0000-000047020000}"/>
    <cellStyle name="s608" xfId="584" xr:uid="{00000000-0005-0000-0000-000048020000}"/>
    <cellStyle name="s609" xfId="585" xr:uid="{00000000-0005-0000-0000-000049020000}"/>
    <cellStyle name="s61" xfId="37" xr:uid="{00000000-0005-0000-0000-000025000000}"/>
    <cellStyle name="s610" xfId="586" xr:uid="{00000000-0005-0000-0000-00004A020000}"/>
    <cellStyle name="s611" xfId="587" xr:uid="{00000000-0005-0000-0000-00004B020000}"/>
    <cellStyle name="s612" xfId="588" xr:uid="{00000000-0005-0000-0000-00004C020000}"/>
    <cellStyle name="s613" xfId="589" xr:uid="{00000000-0005-0000-0000-00004D020000}"/>
    <cellStyle name="s614" xfId="590" xr:uid="{00000000-0005-0000-0000-00004E020000}"/>
    <cellStyle name="s615" xfId="591" xr:uid="{00000000-0005-0000-0000-00004F020000}"/>
    <cellStyle name="s616" xfId="592" xr:uid="{00000000-0005-0000-0000-000050020000}"/>
    <cellStyle name="s617" xfId="593" xr:uid="{00000000-0005-0000-0000-000051020000}"/>
    <cellStyle name="s618" xfId="594" xr:uid="{00000000-0005-0000-0000-000052020000}"/>
    <cellStyle name="s619" xfId="595" xr:uid="{00000000-0005-0000-0000-000053020000}"/>
    <cellStyle name="s62" xfId="38" xr:uid="{00000000-0005-0000-0000-000026000000}"/>
    <cellStyle name="s620" xfId="596" xr:uid="{00000000-0005-0000-0000-000054020000}"/>
    <cellStyle name="s621" xfId="597" xr:uid="{00000000-0005-0000-0000-000055020000}"/>
    <cellStyle name="s622" xfId="598" xr:uid="{00000000-0005-0000-0000-000056020000}"/>
    <cellStyle name="s623" xfId="599" xr:uid="{00000000-0005-0000-0000-000057020000}"/>
    <cellStyle name="s624" xfId="600" xr:uid="{00000000-0005-0000-0000-000058020000}"/>
    <cellStyle name="s625" xfId="601" xr:uid="{00000000-0005-0000-0000-000059020000}"/>
    <cellStyle name="s626" xfId="602" xr:uid="{00000000-0005-0000-0000-00005A020000}"/>
    <cellStyle name="s627" xfId="603" xr:uid="{00000000-0005-0000-0000-00005B020000}"/>
    <cellStyle name="s628" xfId="604" xr:uid="{00000000-0005-0000-0000-00005C020000}"/>
    <cellStyle name="s629" xfId="605" xr:uid="{00000000-0005-0000-0000-00005D020000}"/>
    <cellStyle name="s63" xfId="39" xr:uid="{00000000-0005-0000-0000-000027000000}"/>
    <cellStyle name="s630" xfId="606" xr:uid="{00000000-0005-0000-0000-00005E020000}"/>
    <cellStyle name="s631" xfId="607" xr:uid="{00000000-0005-0000-0000-00005F020000}"/>
    <cellStyle name="s632" xfId="608" xr:uid="{00000000-0005-0000-0000-000060020000}"/>
    <cellStyle name="s633" xfId="609" xr:uid="{00000000-0005-0000-0000-000061020000}"/>
    <cellStyle name="s634" xfId="610" xr:uid="{00000000-0005-0000-0000-000062020000}"/>
    <cellStyle name="s635" xfId="611" xr:uid="{00000000-0005-0000-0000-000063020000}"/>
    <cellStyle name="s636" xfId="612" xr:uid="{00000000-0005-0000-0000-000064020000}"/>
    <cellStyle name="s637" xfId="613" xr:uid="{00000000-0005-0000-0000-000065020000}"/>
    <cellStyle name="s638" xfId="614" xr:uid="{00000000-0005-0000-0000-000066020000}"/>
    <cellStyle name="s639" xfId="615" xr:uid="{00000000-0005-0000-0000-000067020000}"/>
    <cellStyle name="s64" xfId="40" xr:uid="{00000000-0005-0000-0000-000028000000}"/>
    <cellStyle name="s640" xfId="616" xr:uid="{00000000-0005-0000-0000-000068020000}"/>
    <cellStyle name="s641" xfId="617" xr:uid="{00000000-0005-0000-0000-000069020000}"/>
    <cellStyle name="s642" xfId="618" xr:uid="{00000000-0005-0000-0000-00006A020000}"/>
    <cellStyle name="s643" xfId="619" xr:uid="{00000000-0005-0000-0000-00006B020000}"/>
    <cellStyle name="s644" xfId="620" xr:uid="{00000000-0005-0000-0000-00006C020000}"/>
    <cellStyle name="s645" xfId="621" xr:uid="{00000000-0005-0000-0000-00006D020000}"/>
    <cellStyle name="s646" xfId="622" xr:uid="{00000000-0005-0000-0000-00006E020000}"/>
    <cellStyle name="s647" xfId="623" xr:uid="{00000000-0005-0000-0000-00006F020000}"/>
    <cellStyle name="s648" xfId="624" xr:uid="{00000000-0005-0000-0000-000070020000}"/>
    <cellStyle name="s649" xfId="625" xr:uid="{00000000-0005-0000-0000-000071020000}"/>
    <cellStyle name="s65" xfId="41" xr:uid="{00000000-0005-0000-0000-000029000000}"/>
    <cellStyle name="s650" xfId="626" xr:uid="{00000000-0005-0000-0000-000072020000}"/>
    <cellStyle name="s651" xfId="627" xr:uid="{00000000-0005-0000-0000-000073020000}"/>
    <cellStyle name="s652" xfId="628" xr:uid="{00000000-0005-0000-0000-000074020000}"/>
    <cellStyle name="s653" xfId="629" xr:uid="{00000000-0005-0000-0000-000075020000}"/>
    <cellStyle name="s654" xfId="630" xr:uid="{00000000-0005-0000-0000-000076020000}"/>
    <cellStyle name="s655" xfId="631" xr:uid="{00000000-0005-0000-0000-000077020000}"/>
    <cellStyle name="s656" xfId="632" xr:uid="{00000000-0005-0000-0000-000078020000}"/>
    <cellStyle name="s657" xfId="633" xr:uid="{00000000-0005-0000-0000-000079020000}"/>
    <cellStyle name="s658" xfId="634" xr:uid="{00000000-0005-0000-0000-00007A020000}"/>
    <cellStyle name="s659" xfId="635" xr:uid="{00000000-0005-0000-0000-00007B020000}"/>
    <cellStyle name="s66" xfId="42" xr:uid="{00000000-0005-0000-0000-00002A000000}"/>
    <cellStyle name="s660" xfId="636" xr:uid="{00000000-0005-0000-0000-00007C020000}"/>
    <cellStyle name="s661" xfId="637" xr:uid="{00000000-0005-0000-0000-00007D020000}"/>
    <cellStyle name="s662" xfId="638" xr:uid="{00000000-0005-0000-0000-00007E020000}"/>
    <cellStyle name="s663" xfId="639" xr:uid="{00000000-0005-0000-0000-00007F020000}"/>
    <cellStyle name="s664" xfId="640" xr:uid="{00000000-0005-0000-0000-000080020000}"/>
    <cellStyle name="s665" xfId="641" xr:uid="{00000000-0005-0000-0000-000081020000}"/>
    <cellStyle name="s666" xfId="642" xr:uid="{00000000-0005-0000-0000-000082020000}"/>
    <cellStyle name="s667" xfId="643" xr:uid="{00000000-0005-0000-0000-000083020000}"/>
    <cellStyle name="s668" xfId="644" xr:uid="{00000000-0005-0000-0000-000084020000}"/>
    <cellStyle name="s669" xfId="645" xr:uid="{00000000-0005-0000-0000-000085020000}"/>
    <cellStyle name="s67" xfId="43" xr:uid="{00000000-0005-0000-0000-00002B000000}"/>
    <cellStyle name="s670" xfId="646" xr:uid="{00000000-0005-0000-0000-000086020000}"/>
    <cellStyle name="s671" xfId="647" xr:uid="{00000000-0005-0000-0000-000087020000}"/>
    <cellStyle name="s672" xfId="648" xr:uid="{00000000-0005-0000-0000-000088020000}"/>
    <cellStyle name="s673" xfId="649" xr:uid="{00000000-0005-0000-0000-000089020000}"/>
    <cellStyle name="s674" xfId="650" xr:uid="{00000000-0005-0000-0000-00008A020000}"/>
    <cellStyle name="s675" xfId="651" xr:uid="{00000000-0005-0000-0000-00008B020000}"/>
    <cellStyle name="s676" xfId="652" xr:uid="{00000000-0005-0000-0000-00008C020000}"/>
    <cellStyle name="s677" xfId="653" xr:uid="{00000000-0005-0000-0000-00008D020000}"/>
    <cellStyle name="s678" xfId="654" xr:uid="{00000000-0005-0000-0000-00008E020000}"/>
    <cellStyle name="s679" xfId="655" xr:uid="{00000000-0005-0000-0000-00008F020000}"/>
    <cellStyle name="s68" xfId="44" xr:uid="{00000000-0005-0000-0000-00002C000000}"/>
    <cellStyle name="s680" xfId="656" xr:uid="{00000000-0005-0000-0000-000090020000}"/>
    <cellStyle name="s681" xfId="657" xr:uid="{00000000-0005-0000-0000-000091020000}"/>
    <cellStyle name="s682" xfId="658" xr:uid="{00000000-0005-0000-0000-000092020000}"/>
    <cellStyle name="s683" xfId="659" xr:uid="{00000000-0005-0000-0000-000093020000}"/>
    <cellStyle name="s684" xfId="660" xr:uid="{00000000-0005-0000-0000-000094020000}"/>
    <cellStyle name="s685" xfId="661" xr:uid="{00000000-0005-0000-0000-000095020000}"/>
    <cellStyle name="s686" xfId="662" xr:uid="{00000000-0005-0000-0000-000096020000}"/>
    <cellStyle name="s687" xfId="663" xr:uid="{00000000-0005-0000-0000-000097020000}"/>
    <cellStyle name="s688" xfId="664" xr:uid="{00000000-0005-0000-0000-000098020000}"/>
    <cellStyle name="s689" xfId="665" xr:uid="{00000000-0005-0000-0000-000099020000}"/>
    <cellStyle name="s69" xfId="45" xr:uid="{00000000-0005-0000-0000-00002D000000}"/>
    <cellStyle name="s690" xfId="666" xr:uid="{00000000-0005-0000-0000-00009A020000}"/>
    <cellStyle name="s691" xfId="667" xr:uid="{00000000-0005-0000-0000-00009B020000}"/>
    <cellStyle name="s692" xfId="668" xr:uid="{00000000-0005-0000-0000-00009C020000}"/>
    <cellStyle name="s693" xfId="669" xr:uid="{00000000-0005-0000-0000-00009D020000}"/>
    <cellStyle name="s694" xfId="670" xr:uid="{00000000-0005-0000-0000-00009E020000}"/>
    <cellStyle name="s695" xfId="671" xr:uid="{00000000-0005-0000-0000-00009F020000}"/>
    <cellStyle name="s696" xfId="672" xr:uid="{00000000-0005-0000-0000-0000A0020000}"/>
    <cellStyle name="s697" xfId="673" xr:uid="{00000000-0005-0000-0000-0000A1020000}"/>
    <cellStyle name="s698" xfId="674" xr:uid="{00000000-0005-0000-0000-0000A2020000}"/>
    <cellStyle name="s699" xfId="675" xr:uid="{00000000-0005-0000-0000-0000A3020000}"/>
    <cellStyle name="s7" xfId="2539" xr:uid="{00000000-0005-0000-0000-0000EB090000}"/>
    <cellStyle name="s70" xfId="46" xr:uid="{00000000-0005-0000-0000-00002E000000}"/>
    <cellStyle name="s700" xfId="676" xr:uid="{00000000-0005-0000-0000-0000A4020000}"/>
    <cellStyle name="s701" xfId="677" xr:uid="{00000000-0005-0000-0000-0000A5020000}"/>
    <cellStyle name="s702" xfId="678" xr:uid="{00000000-0005-0000-0000-0000A6020000}"/>
    <cellStyle name="s703" xfId="679" xr:uid="{00000000-0005-0000-0000-0000A7020000}"/>
    <cellStyle name="s704" xfId="680" xr:uid="{00000000-0005-0000-0000-0000A8020000}"/>
    <cellStyle name="s705" xfId="681" xr:uid="{00000000-0005-0000-0000-0000A9020000}"/>
    <cellStyle name="s706" xfId="682" xr:uid="{00000000-0005-0000-0000-0000AA020000}"/>
    <cellStyle name="s707" xfId="683" xr:uid="{00000000-0005-0000-0000-0000AB020000}"/>
    <cellStyle name="s708" xfId="684" xr:uid="{00000000-0005-0000-0000-0000AC020000}"/>
    <cellStyle name="s709" xfId="685" xr:uid="{00000000-0005-0000-0000-0000AD020000}"/>
    <cellStyle name="s71" xfId="47" xr:uid="{00000000-0005-0000-0000-00002F000000}"/>
    <cellStyle name="s710" xfId="686" xr:uid="{00000000-0005-0000-0000-0000AE020000}"/>
    <cellStyle name="s711" xfId="687" xr:uid="{00000000-0005-0000-0000-0000AF020000}"/>
    <cellStyle name="s712" xfId="688" xr:uid="{00000000-0005-0000-0000-0000B0020000}"/>
    <cellStyle name="s713" xfId="689" xr:uid="{00000000-0005-0000-0000-0000B1020000}"/>
    <cellStyle name="s714" xfId="690" xr:uid="{00000000-0005-0000-0000-0000B2020000}"/>
    <cellStyle name="s715" xfId="691" xr:uid="{00000000-0005-0000-0000-0000B3020000}"/>
    <cellStyle name="s716" xfId="692" xr:uid="{00000000-0005-0000-0000-0000B4020000}"/>
    <cellStyle name="s717" xfId="693" xr:uid="{00000000-0005-0000-0000-0000B5020000}"/>
    <cellStyle name="s718" xfId="694" xr:uid="{00000000-0005-0000-0000-0000B6020000}"/>
    <cellStyle name="s719" xfId="695" xr:uid="{00000000-0005-0000-0000-0000B7020000}"/>
    <cellStyle name="s72" xfId="48" xr:uid="{00000000-0005-0000-0000-000030000000}"/>
    <cellStyle name="s720" xfId="696" xr:uid="{00000000-0005-0000-0000-0000B8020000}"/>
    <cellStyle name="s721" xfId="697" xr:uid="{00000000-0005-0000-0000-0000B9020000}"/>
    <cellStyle name="s722" xfId="698" xr:uid="{00000000-0005-0000-0000-0000BA020000}"/>
    <cellStyle name="s723" xfId="699" xr:uid="{00000000-0005-0000-0000-0000BB020000}"/>
    <cellStyle name="s724" xfId="700" xr:uid="{00000000-0005-0000-0000-0000BC020000}"/>
    <cellStyle name="s725" xfId="701" xr:uid="{00000000-0005-0000-0000-0000BD020000}"/>
    <cellStyle name="s726" xfId="702" xr:uid="{00000000-0005-0000-0000-0000BE020000}"/>
    <cellStyle name="s727" xfId="703" xr:uid="{00000000-0005-0000-0000-0000BF020000}"/>
    <cellStyle name="s728" xfId="704" xr:uid="{00000000-0005-0000-0000-0000C0020000}"/>
    <cellStyle name="s729" xfId="705" xr:uid="{00000000-0005-0000-0000-0000C1020000}"/>
    <cellStyle name="s73" xfId="49" xr:uid="{00000000-0005-0000-0000-000031000000}"/>
    <cellStyle name="s730" xfId="706" xr:uid="{00000000-0005-0000-0000-0000C2020000}"/>
    <cellStyle name="s731" xfId="707" xr:uid="{00000000-0005-0000-0000-0000C3020000}"/>
    <cellStyle name="s732" xfId="708" xr:uid="{00000000-0005-0000-0000-0000C4020000}"/>
    <cellStyle name="s733" xfId="709" xr:uid="{00000000-0005-0000-0000-0000C5020000}"/>
    <cellStyle name="s734" xfId="710" xr:uid="{00000000-0005-0000-0000-0000C6020000}"/>
    <cellStyle name="s735" xfId="711" xr:uid="{00000000-0005-0000-0000-0000C7020000}"/>
    <cellStyle name="s736" xfId="712" xr:uid="{00000000-0005-0000-0000-0000C8020000}"/>
    <cellStyle name="s737" xfId="713" xr:uid="{00000000-0005-0000-0000-0000C9020000}"/>
    <cellStyle name="s738" xfId="714" xr:uid="{00000000-0005-0000-0000-0000CA020000}"/>
    <cellStyle name="s739" xfId="715" xr:uid="{00000000-0005-0000-0000-0000CB020000}"/>
    <cellStyle name="s74" xfId="50" xr:uid="{00000000-0005-0000-0000-000032000000}"/>
    <cellStyle name="s740" xfId="716" xr:uid="{00000000-0005-0000-0000-0000CC020000}"/>
    <cellStyle name="s741" xfId="717" xr:uid="{00000000-0005-0000-0000-0000CD020000}"/>
    <cellStyle name="s742" xfId="718" xr:uid="{00000000-0005-0000-0000-0000CE020000}"/>
    <cellStyle name="s743" xfId="719" xr:uid="{00000000-0005-0000-0000-0000CF020000}"/>
    <cellStyle name="s744" xfId="720" xr:uid="{00000000-0005-0000-0000-0000D0020000}"/>
    <cellStyle name="s745" xfId="721" xr:uid="{00000000-0005-0000-0000-0000D1020000}"/>
    <cellStyle name="s746" xfId="722" xr:uid="{00000000-0005-0000-0000-0000D2020000}"/>
    <cellStyle name="s747" xfId="723" xr:uid="{00000000-0005-0000-0000-0000D3020000}"/>
    <cellStyle name="s748" xfId="724" xr:uid="{00000000-0005-0000-0000-0000D4020000}"/>
    <cellStyle name="s749" xfId="725" xr:uid="{00000000-0005-0000-0000-0000D5020000}"/>
    <cellStyle name="s75" xfId="51" xr:uid="{00000000-0005-0000-0000-000033000000}"/>
    <cellStyle name="s750" xfId="726" xr:uid="{00000000-0005-0000-0000-0000D6020000}"/>
    <cellStyle name="s751" xfId="727" xr:uid="{00000000-0005-0000-0000-0000D7020000}"/>
    <cellStyle name="s752" xfId="728" xr:uid="{00000000-0005-0000-0000-0000D8020000}"/>
    <cellStyle name="s753" xfId="729" xr:uid="{00000000-0005-0000-0000-0000D9020000}"/>
    <cellStyle name="s754" xfId="730" xr:uid="{00000000-0005-0000-0000-0000DA020000}"/>
    <cellStyle name="s755" xfId="731" xr:uid="{00000000-0005-0000-0000-0000DB020000}"/>
    <cellStyle name="s756" xfId="732" xr:uid="{00000000-0005-0000-0000-0000DC020000}"/>
    <cellStyle name="s757" xfId="733" xr:uid="{00000000-0005-0000-0000-0000DD020000}"/>
    <cellStyle name="s758" xfId="734" xr:uid="{00000000-0005-0000-0000-0000DE020000}"/>
    <cellStyle name="s759" xfId="735" xr:uid="{00000000-0005-0000-0000-0000DF020000}"/>
    <cellStyle name="s76" xfId="52" xr:uid="{00000000-0005-0000-0000-000034000000}"/>
    <cellStyle name="s760" xfId="736" xr:uid="{00000000-0005-0000-0000-0000E0020000}"/>
    <cellStyle name="s761" xfId="737" xr:uid="{00000000-0005-0000-0000-0000E1020000}"/>
    <cellStyle name="s762" xfId="738" xr:uid="{00000000-0005-0000-0000-0000E2020000}"/>
    <cellStyle name="s763" xfId="739" xr:uid="{00000000-0005-0000-0000-0000E3020000}"/>
    <cellStyle name="s764" xfId="740" xr:uid="{00000000-0005-0000-0000-0000E4020000}"/>
    <cellStyle name="s765" xfId="741" xr:uid="{00000000-0005-0000-0000-0000E5020000}"/>
    <cellStyle name="s766" xfId="742" xr:uid="{00000000-0005-0000-0000-0000E6020000}"/>
    <cellStyle name="s767" xfId="743" xr:uid="{00000000-0005-0000-0000-0000E7020000}"/>
    <cellStyle name="s768" xfId="744" xr:uid="{00000000-0005-0000-0000-0000E8020000}"/>
    <cellStyle name="s769" xfId="745" xr:uid="{00000000-0005-0000-0000-0000E9020000}"/>
    <cellStyle name="s77" xfId="53" xr:uid="{00000000-0005-0000-0000-000035000000}"/>
    <cellStyle name="s770" xfId="746" xr:uid="{00000000-0005-0000-0000-0000EA020000}"/>
    <cellStyle name="s771" xfId="747" xr:uid="{00000000-0005-0000-0000-0000EB020000}"/>
    <cellStyle name="s772" xfId="748" xr:uid="{00000000-0005-0000-0000-0000EC020000}"/>
    <cellStyle name="s773" xfId="749" xr:uid="{00000000-0005-0000-0000-0000ED020000}"/>
    <cellStyle name="s774" xfId="750" xr:uid="{00000000-0005-0000-0000-0000EE020000}"/>
    <cellStyle name="s775" xfId="751" xr:uid="{00000000-0005-0000-0000-0000EF020000}"/>
    <cellStyle name="s776" xfId="752" xr:uid="{00000000-0005-0000-0000-0000F0020000}"/>
    <cellStyle name="s777" xfId="753" xr:uid="{00000000-0005-0000-0000-0000F1020000}"/>
    <cellStyle name="s778" xfId="754" xr:uid="{00000000-0005-0000-0000-0000F2020000}"/>
    <cellStyle name="s779" xfId="755" xr:uid="{00000000-0005-0000-0000-0000F3020000}"/>
    <cellStyle name="s78" xfId="54" xr:uid="{00000000-0005-0000-0000-000036000000}"/>
    <cellStyle name="s780" xfId="756" xr:uid="{00000000-0005-0000-0000-0000F4020000}"/>
    <cellStyle name="s781" xfId="757" xr:uid="{00000000-0005-0000-0000-0000F5020000}"/>
    <cellStyle name="s782" xfId="758" xr:uid="{00000000-0005-0000-0000-0000F6020000}"/>
    <cellStyle name="s783" xfId="759" xr:uid="{00000000-0005-0000-0000-0000F7020000}"/>
    <cellStyle name="s784" xfId="760" xr:uid="{00000000-0005-0000-0000-0000F8020000}"/>
    <cellStyle name="s785" xfId="761" xr:uid="{00000000-0005-0000-0000-0000F9020000}"/>
    <cellStyle name="s786" xfId="762" xr:uid="{00000000-0005-0000-0000-0000FA020000}"/>
    <cellStyle name="s787" xfId="763" xr:uid="{00000000-0005-0000-0000-0000FB020000}"/>
    <cellStyle name="s788" xfId="764" xr:uid="{00000000-0005-0000-0000-0000FC020000}"/>
    <cellStyle name="s789" xfId="765" xr:uid="{00000000-0005-0000-0000-0000FD020000}"/>
    <cellStyle name="s79" xfId="55" xr:uid="{00000000-0005-0000-0000-000037000000}"/>
    <cellStyle name="s790" xfId="766" xr:uid="{00000000-0005-0000-0000-0000FE020000}"/>
    <cellStyle name="s791" xfId="767" xr:uid="{00000000-0005-0000-0000-0000FF020000}"/>
    <cellStyle name="s792" xfId="768" xr:uid="{00000000-0005-0000-0000-000000030000}"/>
    <cellStyle name="s793" xfId="769" xr:uid="{00000000-0005-0000-0000-000001030000}"/>
    <cellStyle name="s794" xfId="770" xr:uid="{00000000-0005-0000-0000-000002030000}"/>
    <cellStyle name="s795" xfId="771" xr:uid="{00000000-0005-0000-0000-000003030000}"/>
    <cellStyle name="s796" xfId="772" xr:uid="{00000000-0005-0000-0000-000004030000}"/>
    <cellStyle name="s797" xfId="773" xr:uid="{00000000-0005-0000-0000-000005030000}"/>
    <cellStyle name="s798" xfId="774" xr:uid="{00000000-0005-0000-0000-000006030000}"/>
    <cellStyle name="s799" xfId="775" xr:uid="{00000000-0005-0000-0000-000007030000}"/>
    <cellStyle name="s8" xfId="2540" xr:uid="{00000000-0005-0000-0000-0000EC090000}"/>
    <cellStyle name="s80" xfId="56" xr:uid="{00000000-0005-0000-0000-000038000000}"/>
    <cellStyle name="s800" xfId="776" xr:uid="{00000000-0005-0000-0000-000008030000}"/>
    <cellStyle name="s801" xfId="777" xr:uid="{00000000-0005-0000-0000-000009030000}"/>
    <cellStyle name="s802" xfId="778" xr:uid="{00000000-0005-0000-0000-00000A030000}"/>
    <cellStyle name="s803" xfId="779" xr:uid="{00000000-0005-0000-0000-00000B030000}"/>
    <cellStyle name="s804" xfId="780" xr:uid="{00000000-0005-0000-0000-00000C030000}"/>
    <cellStyle name="s805" xfId="781" xr:uid="{00000000-0005-0000-0000-00000D030000}"/>
    <cellStyle name="s806" xfId="782" xr:uid="{00000000-0005-0000-0000-00000E030000}"/>
    <cellStyle name="s807" xfId="783" xr:uid="{00000000-0005-0000-0000-00000F030000}"/>
    <cellStyle name="s808" xfId="784" xr:uid="{00000000-0005-0000-0000-000010030000}"/>
    <cellStyle name="s809" xfId="785" xr:uid="{00000000-0005-0000-0000-000011030000}"/>
    <cellStyle name="s81" xfId="57" xr:uid="{00000000-0005-0000-0000-000039000000}"/>
    <cellStyle name="s810" xfId="786" xr:uid="{00000000-0005-0000-0000-000012030000}"/>
    <cellStyle name="s811" xfId="787" xr:uid="{00000000-0005-0000-0000-000013030000}"/>
    <cellStyle name="s812" xfId="788" xr:uid="{00000000-0005-0000-0000-000014030000}"/>
    <cellStyle name="s813" xfId="789" xr:uid="{00000000-0005-0000-0000-000015030000}"/>
    <cellStyle name="s814" xfId="790" xr:uid="{00000000-0005-0000-0000-000016030000}"/>
    <cellStyle name="s815" xfId="791" xr:uid="{00000000-0005-0000-0000-000017030000}"/>
    <cellStyle name="s816" xfId="792" xr:uid="{00000000-0005-0000-0000-000018030000}"/>
    <cellStyle name="s817" xfId="793" xr:uid="{00000000-0005-0000-0000-000019030000}"/>
    <cellStyle name="s818" xfId="794" xr:uid="{00000000-0005-0000-0000-00001A030000}"/>
    <cellStyle name="s819" xfId="795" xr:uid="{00000000-0005-0000-0000-00001B030000}"/>
    <cellStyle name="s82" xfId="58" xr:uid="{00000000-0005-0000-0000-00003A000000}"/>
    <cellStyle name="s820" xfId="796" xr:uid="{00000000-0005-0000-0000-00001C030000}"/>
    <cellStyle name="s821" xfId="797" xr:uid="{00000000-0005-0000-0000-00001D030000}"/>
    <cellStyle name="s822" xfId="798" xr:uid="{00000000-0005-0000-0000-00001E030000}"/>
    <cellStyle name="s823" xfId="799" xr:uid="{00000000-0005-0000-0000-00001F030000}"/>
    <cellStyle name="s824" xfId="800" xr:uid="{00000000-0005-0000-0000-000020030000}"/>
    <cellStyle name="s825" xfId="801" xr:uid="{00000000-0005-0000-0000-000021030000}"/>
    <cellStyle name="s826" xfId="802" xr:uid="{00000000-0005-0000-0000-000022030000}"/>
    <cellStyle name="s827" xfId="803" xr:uid="{00000000-0005-0000-0000-000023030000}"/>
    <cellStyle name="s828" xfId="804" xr:uid="{00000000-0005-0000-0000-000024030000}"/>
    <cellStyle name="s829" xfId="805" xr:uid="{00000000-0005-0000-0000-000025030000}"/>
    <cellStyle name="s83" xfId="59" xr:uid="{00000000-0005-0000-0000-00003B000000}"/>
    <cellStyle name="s830" xfId="806" xr:uid="{00000000-0005-0000-0000-000026030000}"/>
    <cellStyle name="s831" xfId="807" xr:uid="{00000000-0005-0000-0000-000027030000}"/>
    <cellStyle name="s832" xfId="808" xr:uid="{00000000-0005-0000-0000-000028030000}"/>
    <cellStyle name="s833" xfId="809" xr:uid="{00000000-0005-0000-0000-000029030000}"/>
    <cellStyle name="s834" xfId="810" xr:uid="{00000000-0005-0000-0000-00002A030000}"/>
    <cellStyle name="s835" xfId="811" xr:uid="{00000000-0005-0000-0000-00002B030000}"/>
    <cellStyle name="s836" xfId="812" xr:uid="{00000000-0005-0000-0000-00002C030000}"/>
    <cellStyle name="s837" xfId="813" xr:uid="{00000000-0005-0000-0000-00002D030000}"/>
    <cellStyle name="s838" xfId="814" xr:uid="{00000000-0005-0000-0000-00002E030000}"/>
    <cellStyle name="s839" xfId="815" xr:uid="{00000000-0005-0000-0000-00002F030000}"/>
    <cellStyle name="s84" xfId="60" xr:uid="{00000000-0005-0000-0000-00003C000000}"/>
    <cellStyle name="s840" xfId="816" xr:uid="{00000000-0005-0000-0000-000030030000}"/>
    <cellStyle name="s841" xfId="817" xr:uid="{00000000-0005-0000-0000-000031030000}"/>
    <cellStyle name="s842" xfId="818" xr:uid="{00000000-0005-0000-0000-000032030000}"/>
    <cellStyle name="s843" xfId="819" xr:uid="{00000000-0005-0000-0000-000033030000}"/>
    <cellStyle name="s844" xfId="820" xr:uid="{00000000-0005-0000-0000-000034030000}"/>
    <cellStyle name="s845" xfId="821" xr:uid="{00000000-0005-0000-0000-000035030000}"/>
    <cellStyle name="s846" xfId="822" xr:uid="{00000000-0005-0000-0000-000036030000}"/>
    <cellStyle name="s847" xfId="823" xr:uid="{00000000-0005-0000-0000-000037030000}"/>
    <cellStyle name="s848" xfId="824" xr:uid="{00000000-0005-0000-0000-000038030000}"/>
    <cellStyle name="s849" xfId="825" xr:uid="{00000000-0005-0000-0000-000039030000}"/>
    <cellStyle name="s85" xfId="61" xr:uid="{00000000-0005-0000-0000-00003D000000}"/>
    <cellStyle name="s850" xfId="826" xr:uid="{00000000-0005-0000-0000-00003A030000}"/>
    <cellStyle name="s851" xfId="827" xr:uid="{00000000-0005-0000-0000-00003B030000}"/>
    <cellStyle name="s852" xfId="828" xr:uid="{00000000-0005-0000-0000-00003C030000}"/>
    <cellStyle name="s853" xfId="829" xr:uid="{00000000-0005-0000-0000-00003D030000}"/>
    <cellStyle name="s854" xfId="830" xr:uid="{00000000-0005-0000-0000-00003E030000}"/>
    <cellStyle name="s855" xfId="831" xr:uid="{00000000-0005-0000-0000-00003F030000}"/>
    <cellStyle name="s856" xfId="832" xr:uid="{00000000-0005-0000-0000-000040030000}"/>
    <cellStyle name="s857" xfId="833" xr:uid="{00000000-0005-0000-0000-000041030000}"/>
    <cellStyle name="s858" xfId="834" xr:uid="{00000000-0005-0000-0000-000042030000}"/>
    <cellStyle name="s859" xfId="835" xr:uid="{00000000-0005-0000-0000-000043030000}"/>
    <cellStyle name="s86" xfId="62" xr:uid="{00000000-0005-0000-0000-00003E000000}"/>
    <cellStyle name="s860" xfId="836" xr:uid="{00000000-0005-0000-0000-000044030000}"/>
    <cellStyle name="s861" xfId="837" xr:uid="{00000000-0005-0000-0000-000045030000}"/>
    <cellStyle name="s862" xfId="838" xr:uid="{00000000-0005-0000-0000-000046030000}"/>
    <cellStyle name="s863" xfId="839" xr:uid="{00000000-0005-0000-0000-000047030000}"/>
    <cellStyle name="s864" xfId="840" xr:uid="{00000000-0005-0000-0000-000048030000}"/>
    <cellStyle name="s865" xfId="841" xr:uid="{00000000-0005-0000-0000-000049030000}"/>
    <cellStyle name="s866" xfId="842" xr:uid="{00000000-0005-0000-0000-00004A030000}"/>
    <cellStyle name="s867" xfId="843" xr:uid="{00000000-0005-0000-0000-00004B030000}"/>
    <cellStyle name="s868" xfId="844" xr:uid="{00000000-0005-0000-0000-00004C030000}"/>
    <cellStyle name="s869" xfId="845" xr:uid="{00000000-0005-0000-0000-00004D030000}"/>
    <cellStyle name="s87" xfId="63" xr:uid="{00000000-0005-0000-0000-00003F000000}"/>
    <cellStyle name="s870" xfId="846" xr:uid="{00000000-0005-0000-0000-00004E030000}"/>
    <cellStyle name="s871" xfId="847" xr:uid="{00000000-0005-0000-0000-00004F030000}"/>
    <cellStyle name="s872" xfId="848" xr:uid="{00000000-0005-0000-0000-000050030000}"/>
    <cellStyle name="s873" xfId="849" xr:uid="{00000000-0005-0000-0000-000051030000}"/>
    <cellStyle name="s874" xfId="850" xr:uid="{00000000-0005-0000-0000-000052030000}"/>
    <cellStyle name="s875" xfId="851" xr:uid="{00000000-0005-0000-0000-000053030000}"/>
    <cellStyle name="s876" xfId="852" xr:uid="{00000000-0005-0000-0000-000054030000}"/>
    <cellStyle name="s877" xfId="853" xr:uid="{00000000-0005-0000-0000-000055030000}"/>
    <cellStyle name="s878" xfId="854" xr:uid="{00000000-0005-0000-0000-000056030000}"/>
    <cellStyle name="s879" xfId="855" xr:uid="{00000000-0005-0000-0000-000057030000}"/>
    <cellStyle name="s88" xfId="64" xr:uid="{00000000-0005-0000-0000-000040000000}"/>
    <cellStyle name="s880" xfId="856" xr:uid="{00000000-0005-0000-0000-000058030000}"/>
    <cellStyle name="s881" xfId="857" xr:uid="{00000000-0005-0000-0000-000059030000}"/>
    <cellStyle name="s882" xfId="858" xr:uid="{00000000-0005-0000-0000-00005A030000}"/>
    <cellStyle name="s883" xfId="859" xr:uid="{00000000-0005-0000-0000-00005B030000}"/>
    <cellStyle name="s884" xfId="860" xr:uid="{00000000-0005-0000-0000-00005C030000}"/>
    <cellStyle name="s885" xfId="861" xr:uid="{00000000-0005-0000-0000-00005D030000}"/>
    <cellStyle name="s886" xfId="862" xr:uid="{00000000-0005-0000-0000-00005E030000}"/>
    <cellStyle name="s887" xfId="863" xr:uid="{00000000-0005-0000-0000-00005F030000}"/>
    <cellStyle name="s888" xfId="864" xr:uid="{00000000-0005-0000-0000-000060030000}"/>
    <cellStyle name="s889" xfId="865" xr:uid="{00000000-0005-0000-0000-000061030000}"/>
    <cellStyle name="s89" xfId="65" xr:uid="{00000000-0005-0000-0000-000041000000}"/>
    <cellStyle name="s890" xfId="866" xr:uid="{00000000-0005-0000-0000-000062030000}"/>
    <cellStyle name="s891" xfId="867" xr:uid="{00000000-0005-0000-0000-000063030000}"/>
    <cellStyle name="s892" xfId="868" xr:uid="{00000000-0005-0000-0000-000064030000}"/>
    <cellStyle name="s893" xfId="869" xr:uid="{00000000-0005-0000-0000-000065030000}"/>
    <cellStyle name="s894" xfId="870" xr:uid="{00000000-0005-0000-0000-000066030000}"/>
    <cellStyle name="s895" xfId="871" xr:uid="{00000000-0005-0000-0000-000067030000}"/>
    <cellStyle name="s896" xfId="872" xr:uid="{00000000-0005-0000-0000-000068030000}"/>
    <cellStyle name="s897" xfId="873" xr:uid="{00000000-0005-0000-0000-000069030000}"/>
    <cellStyle name="s898" xfId="874" xr:uid="{00000000-0005-0000-0000-00006A030000}"/>
    <cellStyle name="s899" xfId="875" xr:uid="{00000000-0005-0000-0000-00006B030000}"/>
    <cellStyle name="s9" xfId="2541" xr:uid="{00000000-0005-0000-0000-0000ED090000}"/>
    <cellStyle name="s90" xfId="66" xr:uid="{00000000-0005-0000-0000-000042000000}"/>
    <cellStyle name="s900" xfId="876" xr:uid="{00000000-0005-0000-0000-00006C030000}"/>
    <cellStyle name="s901" xfId="877" xr:uid="{00000000-0005-0000-0000-00006D030000}"/>
    <cellStyle name="s902" xfId="878" xr:uid="{00000000-0005-0000-0000-00006E030000}"/>
    <cellStyle name="s903" xfId="879" xr:uid="{00000000-0005-0000-0000-00006F030000}"/>
    <cellStyle name="s904" xfId="880" xr:uid="{00000000-0005-0000-0000-000070030000}"/>
    <cellStyle name="s905" xfId="881" xr:uid="{00000000-0005-0000-0000-000071030000}"/>
    <cellStyle name="s906" xfId="882" xr:uid="{00000000-0005-0000-0000-000072030000}"/>
    <cellStyle name="s907" xfId="883" xr:uid="{00000000-0005-0000-0000-000073030000}"/>
    <cellStyle name="s908" xfId="884" xr:uid="{00000000-0005-0000-0000-000074030000}"/>
    <cellStyle name="s909" xfId="885" xr:uid="{00000000-0005-0000-0000-000075030000}"/>
    <cellStyle name="s91" xfId="67" xr:uid="{00000000-0005-0000-0000-000043000000}"/>
    <cellStyle name="s910" xfId="886" xr:uid="{00000000-0005-0000-0000-000076030000}"/>
    <cellStyle name="s911" xfId="887" xr:uid="{00000000-0005-0000-0000-000077030000}"/>
    <cellStyle name="s912" xfId="888" xr:uid="{00000000-0005-0000-0000-000078030000}"/>
    <cellStyle name="s913" xfId="889" xr:uid="{00000000-0005-0000-0000-000079030000}"/>
    <cellStyle name="s914" xfId="890" xr:uid="{00000000-0005-0000-0000-00007A030000}"/>
    <cellStyle name="s915" xfId="891" xr:uid="{00000000-0005-0000-0000-00007B030000}"/>
    <cellStyle name="s916" xfId="892" xr:uid="{00000000-0005-0000-0000-00007C030000}"/>
    <cellStyle name="s917" xfId="893" xr:uid="{00000000-0005-0000-0000-00007D030000}"/>
    <cellStyle name="s918" xfId="894" xr:uid="{00000000-0005-0000-0000-00007E030000}"/>
    <cellStyle name="s919" xfId="895" xr:uid="{00000000-0005-0000-0000-00007F030000}"/>
    <cellStyle name="s92" xfId="68" xr:uid="{00000000-0005-0000-0000-000044000000}"/>
    <cellStyle name="s920" xfId="896" xr:uid="{00000000-0005-0000-0000-000080030000}"/>
    <cellStyle name="s921" xfId="897" xr:uid="{00000000-0005-0000-0000-000081030000}"/>
    <cellStyle name="s922" xfId="898" xr:uid="{00000000-0005-0000-0000-000082030000}"/>
    <cellStyle name="s923" xfId="899" xr:uid="{00000000-0005-0000-0000-000083030000}"/>
    <cellStyle name="s924" xfId="900" xr:uid="{00000000-0005-0000-0000-000084030000}"/>
    <cellStyle name="s925" xfId="901" xr:uid="{00000000-0005-0000-0000-000085030000}"/>
    <cellStyle name="s926" xfId="902" xr:uid="{00000000-0005-0000-0000-000086030000}"/>
    <cellStyle name="s927" xfId="903" xr:uid="{00000000-0005-0000-0000-000087030000}"/>
    <cellStyle name="s928" xfId="904" xr:uid="{00000000-0005-0000-0000-000088030000}"/>
    <cellStyle name="s929" xfId="905" xr:uid="{00000000-0005-0000-0000-000089030000}"/>
    <cellStyle name="s93" xfId="69" xr:uid="{00000000-0005-0000-0000-000045000000}"/>
    <cellStyle name="s930" xfId="906" xr:uid="{00000000-0005-0000-0000-00008A030000}"/>
    <cellStyle name="s931" xfId="907" xr:uid="{00000000-0005-0000-0000-00008B030000}"/>
    <cellStyle name="s932" xfId="908" xr:uid="{00000000-0005-0000-0000-00008C030000}"/>
    <cellStyle name="s933" xfId="909" xr:uid="{00000000-0005-0000-0000-00008D030000}"/>
    <cellStyle name="s934" xfId="910" xr:uid="{00000000-0005-0000-0000-00008E030000}"/>
    <cellStyle name="s935" xfId="911" xr:uid="{00000000-0005-0000-0000-00008F030000}"/>
    <cellStyle name="s936" xfId="912" xr:uid="{00000000-0005-0000-0000-000090030000}"/>
    <cellStyle name="s937" xfId="913" xr:uid="{00000000-0005-0000-0000-000091030000}"/>
    <cellStyle name="s938" xfId="914" xr:uid="{00000000-0005-0000-0000-000092030000}"/>
    <cellStyle name="s939" xfId="915" xr:uid="{00000000-0005-0000-0000-000093030000}"/>
    <cellStyle name="s94" xfId="70" xr:uid="{00000000-0005-0000-0000-000046000000}"/>
    <cellStyle name="s940" xfId="916" xr:uid="{00000000-0005-0000-0000-000094030000}"/>
    <cellStyle name="s941" xfId="917" xr:uid="{00000000-0005-0000-0000-000095030000}"/>
    <cellStyle name="s942" xfId="918" xr:uid="{00000000-0005-0000-0000-000096030000}"/>
    <cellStyle name="s943" xfId="919" xr:uid="{00000000-0005-0000-0000-000097030000}"/>
    <cellStyle name="s944" xfId="920" xr:uid="{00000000-0005-0000-0000-000098030000}"/>
    <cellStyle name="s945" xfId="921" xr:uid="{00000000-0005-0000-0000-000099030000}"/>
    <cellStyle name="s946" xfId="922" xr:uid="{00000000-0005-0000-0000-00009A030000}"/>
    <cellStyle name="s947" xfId="923" xr:uid="{00000000-0005-0000-0000-00009B030000}"/>
    <cellStyle name="s948" xfId="924" xr:uid="{00000000-0005-0000-0000-00009C030000}"/>
    <cellStyle name="s949" xfId="925" xr:uid="{00000000-0005-0000-0000-00009D030000}"/>
    <cellStyle name="s95" xfId="71" xr:uid="{00000000-0005-0000-0000-000047000000}"/>
    <cellStyle name="s950" xfId="926" xr:uid="{00000000-0005-0000-0000-00009E030000}"/>
    <cellStyle name="s951" xfId="927" xr:uid="{00000000-0005-0000-0000-00009F030000}"/>
    <cellStyle name="s952" xfId="928" xr:uid="{00000000-0005-0000-0000-0000A0030000}"/>
    <cellStyle name="s953" xfId="929" xr:uid="{00000000-0005-0000-0000-0000A1030000}"/>
    <cellStyle name="s954" xfId="930" xr:uid="{00000000-0005-0000-0000-0000A2030000}"/>
    <cellStyle name="s955" xfId="931" xr:uid="{00000000-0005-0000-0000-0000A3030000}"/>
    <cellStyle name="s956" xfId="932" xr:uid="{00000000-0005-0000-0000-0000A4030000}"/>
    <cellStyle name="s957" xfId="933" xr:uid="{00000000-0005-0000-0000-0000A5030000}"/>
    <cellStyle name="s958" xfId="934" xr:uid="{00000000-0005-0000-0000-0000A6030000}"/>
    <cellStyle name="s959" xfId="935" xr:uid="{00000000-0005-0000-0000-0000A7030000}"/>
    <cellStyle name="s96" xfId="72" xr:uid="{00000000-0005-0000-0000-000048000000}"/>
    <cellStyle name="s960" xfId="936" xr:uid="{00000000-0005-0000-0000-0000A8030000}"/>
    <cellStyle name="s961" xfId="937" xr:uid="{00000000-0005-0000-0000-0000A9030000}"/>
    <cellStyle name="s962" xfId="938" xr:uid="{00000000-0005-0000-0000-0000AA030000}"/>
    <cellStyle name="s963" xfId="939" xr:uid="{00000000-0005-0000-0000-0000AB030000}"/>
    <cellStyle name="s964" xfId="940" xr:uid="{00000000-0005-0000-0000-0000AC030000}"/>
    <cellStyle name="s965" xfId="941" xr:uid="{00000000-0005-0000-0000-0000AD030000}"/>
    <cellStyle name="s966" xfId="942" xr:uid="{00000000-0005-0000-0000-0000AE030000}"/>
    <cellStyle name="s967" xfId="943" xr:uid="{00000000-0005-0000-0000-0000AF030000}"/>
    <cellStyle name="s968" xfId="944" xr:uid="{00000000-0005-0000-0000-0000B0030000}"/>
    <cellStyle name="s969" xfId="945" xr:uid="{00000000-0005-0000-0000-0000B1030000}"/>
    <cellStyle name="s97" xfId="73" xr:uid="{00000000-0005-0000-0000-000049000000}"/>
    <cellStyle name="s970" xfId="946" xr:uid="{00000000-0005-0000-0000-0000B2030000}"/>
    <cellStyle name="s971" xfId="947" xr:uid="{00000000-0005-0000-0000-0000B3030000}"/>
    <cellStyle name="s972" xfId="948" xr:uid="{00000000-0005-0000-0000-0000B4030000}"/>
    <cellStyle name="s973" xfId="949" xr:uid="{00000000-0005-0000-0000-0000B5030000}"/>
    <cellStyle name="s974" xfId="950" xr:uid="{00000000-0005-0000-0000-0000B6030000}"/>
    <cellStyle name="s975" xfId="951" xr:uid="{00000000-0005-0000-0000-0000B7030000}"/>
    <cellStyle name="s976" xfId="952" xr:uid="{00000000-0005-0000-0000-0000B8030000}"/>
    <cellStyle name="s977" xfId="953" xr:uid="{00000000-0005-0000-0000-0000B9030000}"/>
    <cellStyle name="s978" xfId="954" xr:uid="{00000000-0005-0000-0000-0000BA030000}"/>
    <cellStyle name="s979" xfId="955" xr:uid="{00000000-0005-0000-0000-0000BB030000}"/>
    <cellStyle name="s98" xfId="74" xr:uid="{00000000-0005-0000-0000-00004A000000}"/>
    <cellStyle name="s980" xfId="956" xr:uid="{00000000-0005-0000-0000-0000BC030000}"/>
    <cellStyle name="s981" xfId="957" xr:uid="{00000000-0005-0000-0000-0000BD030000}"/>
    <cellStyle name="s982" xfId="958" xr:uid="{00000000-0005-0000-0000-0000BE030000}"/>
    <cellStyle name="s983" xfId="959" xr:uid="{00000000-0005-0000-0000-0000BF030000}"/>
    <cellStyle name="s984" xfId="960" xr:uid="{00000000-0005-0000-0000-0000C0030000}"/>
    <cellStyle name="s985" xfId="961" xr:uid="{00000000-0005-0000-0000-0000C1030000}"/>
    <cellStyle name="s986" xfId="962" xr:uid="{00000000-0005-0000-0000-0000C2030000}"/>
    <cellStyle name="s987" xfId="963" xr:uid="{00000000-0005-0000-0000-0000C3030000}"/>
    <cellStyle name="s988" xfId="964" xr:uid="{00000000-0005-0000-0000-0000C4030000}"/>
    <cellStyle name="s989" xfId="965" xr:uid="{00000000-0005-0000-0000-0000C5030000}"/>
    <cellStyle name="s99" xfId="75" xr:uid="{00000000-0005-0000-0000-00004B000000}"/>
    <cellStyle name="s990" xfId="966" xr:uid="{00000000-0005-0000-0000-0000C6030000}"/>
    <cellStyle name="s991" xfId="967" xr:uid="{00000000-0005-0000-0000-0000C7030000}"/>
    <cellStyle name="s992" xfId="968" xr:uid="{00000000-0005-0000-0000-0000C8030000}"/>
    <cellStyle name="s993" xfId="969" xr:uid="{00000000-0005-0000-0000-0000C9030000}"/>
    <cellStyle name="s994" xfId="970" xr:uid="{00000000-0005-0000-0000-0000CA030000}"/>
    <cellStyle name="s995" xfId="971" xr:uid="{00000000-0005-0000-0000-0000CB030000}"/>
    <cellStyle name="s996" xfId="972" xr:uid="{00000000-0005-0000-0000-0000CC030000}"/>
    <cellStyle name="s997" xfId="973" xr:uid="{00000000-0005-0000-0000-0000CD030000}"/>
    <cellStyle name="s998" xfId="974" xr:uid="{00000000-0005-0000-0000-0000CE030000}"/>
    <cellStyle name="s999" xfId="975" xr:uid="{00000000-0005-0000-0000-0000CF03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png"/><Relationship Id="rId6" Type="http://schemas.openxmlformats.org/officeDocument/2006/relationships/image" Target="../media/image7.wmf"/><Relationship Id="rId11" Type="http://schemas.openxmlformats.org/officeDocument/2006/relationships/image" Target="../media/image11.wmf"/><Relationship Id="rId5" Type="http://schemas.openxmlformats.org/officeDocument/2006/relationships/image" Target="../media/image6.wmf"/><Relationship Id="rId10" Type="http://schemas.openxmlformats.org/officeDocument/2006/relationships/image" Target="../media/image10.wmf"/><Relationship Id="rId4" Type="http://schemas.openxmlformats.org/officeDocument/2006/relationships/image" Target="../media/image5.wmf"/><Relationship Id="rId9" Type="http://schemas.openxmlformats.org/officeDocument/2006/relationships/image" Target="../media/image9.wmf"/></Relationships>
</file>

<file path=xl/drawings/_rels/drawing3.xml.rels><?xml version="1.0" encoding="UTF-8" standalone="yes"?>
<Relationships xmlns="http://schemas.openxmlformats.org/package/2006/relationships"><Relationship Id="rId8" Type="http://schemas.openxmlformats.org/officeDocument/2006/relationships/image" Target="../media/image9.wmf"/><Relationship Id="rId3" Type="http://schemas.openxmlformats.org/officeDocument/2006/relationships/image" Target="../media/image5.wmf"/><Relationship Id="rId7" Type="http://schemas.openxmlformats.org/officeDocument/2006/relationships/image" Target="../media/image1.png"/><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10" Type="http://schemas.openxmlformats.org/officeDocument/2006/relationships/image" Target="../media/image11.wmf"/><Relationship Id="rId4" Type="http://schemas.openxmlformats.org/officeDocument/2006/relationships/image" Target="../media/image6.wmf"/><Relationship Id="rId9"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twoCellAnchor>
    <xdr:from>
      <xdr:col>6</xdr:col>
      <xdr:colOff>0</xdr:colOff>
      <xdr:row>756</xdr:row>
      <xdr:rowOff>0</xdr:rowOff>
    </xdr:from>
    <xdr:to>
      <xdr:col>9</xdr:col>
      <xdr:colOff>0</xdr:colOff>
      <xdr:row>756</xdr:row>
      <xdr:rowOff>7620</xdr:rowOff>
    </xdr:to>
    <xdr:pic>
      <xdr:nvPicPr>
        <xdr:cNvPr id="2" name="Рисунок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385</xdr:row>
      <xdr:rowOff>30480</xdr:rowOff>
    </xdr:from>
    <xdr:to>
      <xdr:col>8</xdr:col>
      <xdr:colOff>0</xdr:colOff>
      <xdr:row>385</xdr:row>
      <xdr:rowOff>180975</xdr:rowOff>
    </xdr:to>
    <xdr:pic>
      <xdr:nvPicPr>
        <xdr:cNvPr id="2" name="Рисунок 90">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484</xdr:row>
      <xdr:rowOff>0</xdr:rowOff>
    </xdr:from>
    <xdr:to>
      <xdr:col>9</xdr:col>
      <xdr:colOff>0</xdr:colOff>
      <xdr:row>484</xdr:row>
      <xdr:rowOff>312420</xdr:rowOff>
    </xdr:to>
    <xdr:pic>
      <xdr:nvPicPr>
        <xdr:cNvPr id="3" name="Рисунок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485</xdr:row>
      <xdr:rowOff>0</xdr:rowOff>
    </xdr:from>
    <xdr:to>
      <xdr:col>11</xdr:col>
      <xdr:colOff>0</xdr:colOff>
      <xdr:row>485</xdr:row>
      <xdr:rowOff>312420</xdr:rowOff>
    </xdr:to>
    <xdr:pic>
      <xdr:nvPicPr>
        <xdr:cNvPr id="4" name="Рисунок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486</xdr:row>
      <xdr:rowOff>0</xdr:rowOff>
    </xdr:from>
    <xdr:to>
      <xdr:col>6</xdr:col>
      <xdr:colOff>0</xdr:colOff>
      <xdr:row>486</xdr:row>
      <xdr:rowOff>297180</xdr:rowOff>
    </xdr:to>
    <xdr:pic>
      <xdr:nvPicPr>
        <xdr:cNvPr id="5" name="Рисунок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487</xdr:row>
      <xdr:rowOff>0</xdr:rowOff>
    </xdr:from>
    <xdr:to>
      <xdr:col>13</xdr:col>
      <xdr:colOff>0</xdr:colOff>
      <xdr:row>488</xdr:row>
      <xdr:rowOff>7620</xdr:rowOff>
    </xdr:to>
    <xdr:pic>
      <xdr:nvPicPr>
        <xdr:cNvPr id="6" name="Рисунок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488</xdr:row>
      <xdr:rowOff>0</xdr:rowOff>
    </xdr:from>
    <xdr:to>
      <xdr:col>8</xdr:col>
      <xdr:colOff>0</xdr:colOff>
      <xdr:row>489</xdr:row>
      <xdr:rowOff>205740</xdr:rowOff>
    </xdr:to>
    <xdr:pic>
      <xdr:nvPicPr>
        <xdr:cNvPr id="7" name="Рисунок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501</xdr:row>
      <xdr:rowOff>0</xdr:rowOff>
    </xdr:from>
    <xdr:to>
      <xdr:col>6</xdr:col>
      <xdr:colOff>0</xdr:colOff>
      <xdr:row>501</xdr:row>
      <xdr:rowOff>297180</xdr:rowOff>
    </xdr:to>
    <xdr:pic>
      <xdr:nvPicPr>
        <xdr:cNvPr id="8" name="Рисунок 7">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505</xdr:row>
      <xdr:rowOff>15240</xdr:rowOff>
    </xdr:from>
    <xdr:to>
      <xdr:col>9</xdr:col>
      <xdr:colOff>0</xdr:colOff>
      <xdr:row>506</xdr:row>
      <xdr:rowOff>7620</xdr:rowOff>
    </xdr:to>
    <xdr:pic>
      <xdr:nvPicPr>
        <xdr:cNvPr id="9" name="Рисунок 1">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prstDash val="solid"/>
        </a:ln>
      </xdr:spPr>
    </xdr:pic>
    <xdr:clientData/>
  </xdr:twoCellAnchor>
  <xdr:twoCellAnchor>
    <xdr:from>
      <xdr:col>6</xdr:col>
      <xdr:colOff>0</xdr:colOff>
      <xdr:row>528</xdr:row>
      <xdr:rowOff>0</xdr:rowOff>
    </xdr:from>
    <xdr:to>
      <xdr:col>7</xdr:col>
      <xdr:colOff>0</xdr:colOff>
      <xdr:row>528</xdr:row>
      <xdr:rowOff>0</xdr:rowOff>
    </xdr:to>
    <xdr:pic>
      <xdr:nvPicPr>
        <xdr:cNvPr id="10" name="Рисунок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530</xdr:row>
      <xdr:rowOff>0</xdr:rowOff>
    </xdr:from>
    <xdr:to>
      <xdr:col>9</xdr:col>
      <xdr:colOff>0</xdr:colOff>
      <xdr:row>530</xdr:row>
      <xdr:rowOff>304800</xdr:rowOff>
    </xdr:to>
    <xdr:pic>
      <xdr:nvPicPr>
        <xdr:cNvPr id="11" name="Рисунок 10">
          <a:extLst>
            <a:ext uri="{FF2B5EF4-FFF2-40B4-BE49-F238E27FC236}">
              <a16:creationId xmlns:a16="http://schemas.microsoft.com/office/drawing/2014/main" id="{00000000-0008-0000-1F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555</xdr:row>
      <xdr:rowOff>0</xdr:rowOff>
    </xdr:from>
    <xdr:to>
      <xdr:col>13</xdr:col>
      <xdr:colOff>0</xdr:colOff>
      <xdr:row>556</xdr:row>
      <xdr:rowOff>160020</xdr:rowOff>
    </xdr:to>
    <xdr:pic>
      <xdr:nvPicPr>
        <xdr:cNvPr id="12" name="Рисунок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437</xdr:row>
      <xdr:rowOff>0</xdr:rowOff>
    </xdr:from>
    <xdr:to>
      <xdr:col>9</xdr:col>
      <xdr:colOff>0</xdr:colOff>
      <xdr:row>437</xdr:row>
      <xdr:rowOff>312420</xdr:rowOff>
    </xdr:to>
    <xdr:pic>
      <xdr:nvPicPr>
        <xdr:cNvPr id="2" name="Рисунок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438</xdr:row>
      <xdr:rowOff>0</xdr:rowOff>
    </xdr:from>
    <xdr:to>
      <xdr:col>11</xdr:col>
      <xdr:colOff>0</xdr:colOff>
      <xdr:row>438</xdr:row>
      <xdr:rowOff>312420</xdr:rowOff>
    </xdr:to>
    <xdr:pic>
      <xdr:nvPicPr>
        <xdr:cNvPr id="3" name="Рисунок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439</xdr:row>
      <xdr:rowOff>0</xdr:rowOff>
    </xdr:from>
    <xdr:to>
      <xdr:col>6</xdr:col>
      <xdr:colOff>0</xdr:colOff>
      <xdr:row>439</xdr:row>
      <xdr:rowOff>297180</xdr:rowOff>
    </xdr:to>
    <xdr:pic>
      <xdr:nvPicPr>
        <xdr:cNvPr id="4" name="Рисунок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440</xdr:row>
      <xdr:rowOff>0</xdr:rowOff>
    </xdr:from>
    <xdr:to>
      <xdr:col>13</xdr:col>
      <xdr:colOff>0</xdr:colOff>
      <xdr:row>441</xdr:row>
      <xdr:rowOff>7620</xdr:rowOff>
    </xdr:to>
    <xdr:pic>
      <xdr:nvPicPr>
        <xdr:cNvPr id="5" name="Рисунок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441</xdr:row>
      <xdr:rowOff>0</xdr:rowOff>
    </xdr:from>
    <xdr:to>
      <xdr:col>8</xdr:col>
      <xdr:colOff>0</xdr:colOff>
      <xdr:row>442</xdr:row>
      <xdr:rowOff>205740</xdr:rowOff>
    </xdr:to>
    <xdr:pic>
      <xdr:nvPicPr>
        <xdr:cNvPr id="6" name="Рисунок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454</xdr:row>
      <xdr:rowOff>0</xdr:rowOff>
    </xdr:from>
    <xdr:to>
      <xdr:col>6</xdr:col>
      <xdr:colOff>0</xdr:colOff>
      <xdr:row>454</xdr:row>
      <xdr:rowOff>297180</xdr:rowOff>
    </xdr:to>
    <xdr:pic>
      <xdr:nvPicPr>
        <xdr:cNvPr id="7" name="Рисунок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458</xdr:row>
      <xdr:rowOff>15240</xdr:rowOff>
    </xdr:from>
    <xdr:to>
      <xdr:col>9</xdr:col>
      <xdr:colOff>0</xdr:colOff>
      <xdr:row>459</xdr:row>
      <xdr:rowOff>7620</xdr:rowOff>
    </xdr:to>
    <xdr:pic>
      <xdr:nvPicPr>
        <xdr:cNvPr id="8" name="Рисунок 1_1">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prstDash val="solid"/>
        </a:ln>
      </xdr:spPr>
    </xdr:pic>
    <xdr:clientData/>
  </xdr:twoCellAnchor>
  <xdr:twoCellAnchor>
    <xdr:from>
      <xdr:col>6</xdr:col>
      <xdr:colOff>0</xdr:colOff>
      <xdr:row>481</xdr:row>
      <xdr:rowOff>0</xdr:rowOff>
    </xdr:from>
    <xdr:to>
      <xdr:col>7</xdr:col>
      <xdr:colOff>0</xdr:colOff>
      <xdr:row>481</xdr:row>
      <xdr:rowOff>0</xdr:rowOff>
    </xdr:to>
    <xdr:pic>
      <xdr:nvPicPr>
        <xdr:cNvPr id="9" name="Рисунок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483</xdr:row>
      <xdr:rowOff>0</xdr:rowOff>
    </xdr:from>
    <xdr:to>
      <xdr:col>9</xdr:col>
      <xdr:colOff>0</xdr:colOff>
      <xdr:row>483</xdr:row>
      <xdr:rowOff>304800</xdr:rowOff>
    </xdr:to>
    <xdr:pic>
      <xdr:nvPicPr>
        <xdr:cNvPr id="10" name="Рисунок 9">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6</xdr:col>
      <xdr:colOff>0</xdr:colOff>
      <xdr:row>508</xdr:row>
      <xdr:rowOff>0</xdr:rowOff>
    </xdr:from>
    <xdr:to>
      <xdr:col>13</xdr:col>
      <xdr:colOff>0</xdr:colOff>
      <xdr:row>509</xdr:row>
      <xdr:rowOff>160020</xdr:rowOff>
    </xdr:to>
    <xdr:pic>
      <xdr:nvPicPr>
        <xdr:cNvPr id="11" name="Рисунок 10">
          <a:extLst>
            <a:ext uri="{FF2B5EF4-FFF2-40B4-BE49-F238E27FC236}">
              <a16:creationId xmlns:a16="http://schemas.microsoft.com/office/drawing/2014/main" id="{00000000-0008-0000-20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arantgkh@list.ru/"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garantgkh@list.ru/"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arantgkh@list.ru/"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garantgkh@list.ru/" TargetMode="External"/></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B4"/>
  <sheetViews>
    <sheetView showGridLines="0" showRowColHeaders="0" workbookViewId="0"/>
  </sheetViews>
  <sheetFormatPr defaultColWidth="9.140625" defaultRowHeight="12.75" customHeight="1"/>
  <cols>
    <col min="2" max="2" width="155.42578125" customWidth="1"/>
  </cols>
  <sheetData>
    <row r="2" spans="2:2" ht="79.5" customHeight="1">
      <c r="B2" s="14" t="str">
        <f>"Правообладатель шаблона - ООО «Платформа» (ОГРН 1147746709153). _x000D_
Данный шаблон предоставлен в использование исключительно для сбора информации с регулируемых организаций на территории субъекта РФ: "&amp;REGION_NAME&amp;".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Федерации"&amp;",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"&amp;"административной ответственности в соответствии с законодательством Российской Федерации."</f>
        <v>Правообладатель шаблона - ООО «Платформа» (ОГРН 1147746709153). _x000D_
Данный шаблон предоставлен в использование исключительно для сбора информации с регулируемых организаций на территории субъекта РФ: Республика Алтай.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v>
      </c>
    </row>
    <row r="4" spans="2:2" ht="68.25" customHeight="1">
      <c r="B4" s="616" t="s">
        <v>0</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6"/>
  <sheetViews>
    <sheetView showGridLines="0" topLeftCell="AA57" workbookViewId="0">
      <selection activeCell="AA57" sqref="AA57"/>
    </sheetView>
  </sheetViews>
  <sheetFormatPr defaultColWidth="9" defaultRowHeight="11.45" customHeight="1"/>
  <cols>
    <col min="1" max="3" width="9" hidden="1"/>
    <col min="4" max="4" width="2.42578125" hidden="1" customWidth="1"/>
    <col min="5" max="26" width="8.28515625" hidden="1" customWidth="1"/>
    <col min="27" max="27" width="6.85546875" customWidth="1"/>
    <col min="28" max="28" width="43.42578125" customWidth="1"/>
    <col min="29" max="29" width="38" customWidth="1"/>
    <col min="30" max="34" width="19.85546875" customWidth="1"/>
    <col min="35" max="38" width="15.140625" customWidth="1"/>
    <col min="39" max="39" width="12.28515625" customWidth="1"/>
    <col min="40" max="40" width="9" hidden="1"/>
  </cols>
  <sheetData>
    <row r="1" spans="4:40" ht="12" hidden="1" customHeight="1"/>
    <row r="2" spans="4:40" ht="12" hidden="1" customHeight="1"/>
    <row r="3" spans="4:40" ht="12" hidden="1" customHeight="1"/>
    <row r="4" spans="4:40" ht="12.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304</v>
      </c>
      <c r="AC4" s="1">
        <v>266</v>
      </c>
      <c r="AD4" s="1">
        <v>139</v>
      </c>
      <c r="AE4" s="1">
        <v>139</v>
      </c>
      <c r="AF4" s="1">
        <v>139</v>
      </c>
      <c r="AG4" s="1">
        <v>139</v>
      </c>
      <c r="AH4" s="1">
        <v>139</v>
      </c>
      <c r="AI4" s="1">
        <v>106</v>
      </c>
      <c r="AJ4" s="1">
        <v>106</v>
      </c>
      <c r="AK4" s="1">
        <v>106</v>
      </c>
      <c r="AL4" s="1">
        <v>106</v>
      </c>
      <c r="AM4" s="1">
        <v>86</v>
      </c>
      <c r="AN4" s="2">
        <v>0</v>
      </c>
    </row>
    <row r="5" spans="4:40" ht="22.5" hidden="1" customHeight="1">
      <c r="D5" s="1">
        <v>40</v>
      </c>
    </row>
    <row r="6" spans="4:40" ht="22.5" hidden="1" customHeight="1">
      <c r="D6" s="1">
        <v>40</v>
      </c>
    </row>
    <row r="7" spans="4:40" ht="22.5" hidden="1" customHeight="1">
      <c r="D7" s="1">
        <v>40</v>
      </c>
    </row>
    <row r="8" spans="4:40" ht="22.5" hidden="1" customHeight="1">
      <c r="D8" s="1">
        <v>40</v>
      </c>
    </row>
    <row r="9" spans="4:40" ht="22.5" hidden="1" customHeight="1">
      <c r="D9" s="1">
        <v>40</v>
      </c>
    </row>
    <row r="10" spans="4:40" ht="22.5" hidden="1" customHeight="1">
      <c r="D10" s="1">
        <v>40</v>
      </c>
    </row>
    <row r="11" spans="4:40" ht="22.5" hidden="1" customHeight="1">
      <c r="D11" s="1">
        <v>40</v>
      </c>
    </row>
    <row r="12" spans="4:40" ht="22.5" hidden="1" customHeight="1">
      <c r="D12" s="1">
        <v>40</v>
      </c>
    </row>
    <row r="13" spans="4:40" ht="22.5" hidden="1" customHeight="1">
      <c r="D13" s="1">
        <v>40</v>
      </c>
    </row>
    <row r="14" spans="4:40" ht="22.5" hidden="1" customHeight="1">
      <c r="D14" s="1">
        <v>40</v>
      </c>
    </row>
    <row r="15" spans="4:40" ht="22.5" hidden="1" customHeight="1">
      <c r="D15" s="1">
        <v>40</v>
      </c>
    </row>
    <row r="16" spans="4:40" ht="22.5" hidden="1" customHeight="1">
      <c r="D16" s="1">
        <v>40</v>
      </c>
    </row>
    <row r="17" spans="4:39" ht="22.5" hidden="1" customHeight="1">
      <c r="D17" s="1">
        <v>40</v>
      </c>
    </row>
    <row r="18" spans="4:39" ht="22.5" hidden="1" customHeight="1">
      <c r="D18" s="1">
        <v>40</v>
      </c>
    </row>
    <row r="19" spans="4:39" ht="22.5" hidden="1" customHeight="1">
      <c r="D19" s="1">
        <v>40</v>
      </c>
    </row>
    <row r="20" spans="4:39" ht="22.5" hidden="1" customHeight="1">
      <c r="D20" s="1">
        <v>24</v>
      </c>
    </row>
    <row r="21" spans="4:39" ht="22.5" hidden="1" customHeight="1">
      <c r="D21" s="3">
        <v>52</v>
      </c>
      <c r="AB21" s="774" t="s">
        <v>1</v>
      </c>
      <c r="AC21" s="775"/>
      <c r="AD21" s="775"/>
      <c r="AE21" s="776"/>
      <c r="AJ21" s="4" t="s">
        <v>2</v>
      </c>
    </row>
    <row r="22" spans="4:39" ht="32.25" hidden="1" customHeight="1">
      <c r="D22" s="3">
        <v>52</v>
      </c>
      <c r="AD22" s="4" t="s">
        <v>3</v>
      </c>
      <c r="AE22" s="4" t="s">
        <v>4</v>
      </c>
      <c r="AF22" s="4" t="s">
        <v>5</v>
      </c>
      <c r="AG22" s="4" t="s">
        <v>6</v>
      </c>
      <c r="AH22" s="4" t="s">
        <v>7</v>
      </c>
      <c r="AI22" s="4" t="s">
        <v>8</v>
      </c>
      <c r="AJ22" s="4" t="s">
        <v>9</v>
      </c>
      <c r="AK22" s="4" t="s">
        <v>10</v>
      </c>
      <c r="AL22" s="4" t="s">
        <v>11</v>
      </c>
      <c r="AM22" s="1" t="s">
        <v>12</v>
      </c>
    </row>
    <row r="23" spans="4:39" ht="22.5" hidden="1" customHeight="1">
      <c r="D23" s="3">
        <v>36</v>
      </c>
      <c r="AB23" s="5" t="s">
        <v>13</v>
      </c>
      <c r="AC23" s="6">
        <f>IF($AC$65=AB23,1,0)</f>
        <v>0</v>
      </c>
      <c r="AD23" s="7">
        <f>IF(AD22=REGION_NAME,1,0)</f>
        <v>0</v>
      </c>
      <c r="AE23" s="7"/>
      <c r="AF23" s="7"/>
      <c r="AG23" s="7"/>
      <c r="AH23" s="7"/>
      <c r="AI23" s="7"/>
      <c r="AJ23" s="7"/>
      <c r="AK23" s="7"/>
      <c r="AL23" s="7"/>
      <c r="AM23" s="7"/>
    </row>
    <row r="24" spans="4:39" ht="22.5" hidden="1" customHeight="1">
      <c r="D24" s="3">
        <v>36</v>
      </c>
      <c r="AB24" s="5" t="s">
        <v>14</v>
      </c>
      <c r="AC24" s="6">
        <f>AD24</f>
        <v>0</v>
      </c>
      <c r="AD24" s="7">
        <f>IF("3128011788"=INN,1,0)</f>
        <v>0</v>
      </c>
      <c r="AE24" s="7"/>
      <c r="AF24" s="7"/>
      <c r="AG24" s="7"/>
      <c r="AH24" s="7"/>
      <c r="AI24" s="7"/>
      <c r="AJ24" s="7"/>
      <c r="AK24" s="7"/>
      <c r="AL24" s="7"/>
      <c r="AM24" s="7"/>
    </row>
    <row r="25" spans="4:39" ht="22.5" hidden="1" customHeight="1">
      <c r="D25" s="3">
        <v>36</v>
      </c>
      <c r="AB25" s="5" t="s">
        <v>15</v>
      </c>
      <c r="AC25" s="6">
        <f t="shared" ref="AC25:AC30" si="0">IF($AC$65=AB25,1,0)</f>
        <v>0</v>
      </c>
      <c r="AD25" s="7"/>
      <c r="AE25" s="7">
        <f>IF(AE$22=REGION_NAME,1,0)</f>
        <v>0</v>
      </c>
      <c r="AF25" s="7"/>
      <c r="AG25" s="7"/>
      <c r="AH25" s="7"/>
      <c r="AI25" s="7"/>
      <c r="AJ25" s="7"/>
      <c r="AK25" s="7"/>
      <c r="AL25" s="7"/>
      <c r="AM25" s="7"/>
    </row>
    <row r="26" spans="4:39" ht="22.5" hidden="1" customHeight="1">
      <c r="D26" s="3">
        <v>36</v>
      </c>
      <c r="AB26" s="5" t="s">
        <v>16</v>
      </c>
      <c r="AC26" s="6">
        <f t="shared" si="0"/>
        <v>1</v>
      </c>
      <c r="AD26" s="7"/>
      <c r="AE26" s="7"/>
      <c r="AF26" s="7"/>
      <c r="AG26" s="7">
        <f>IF(AG$22=REGION_NAME,1,0)</f>
        <v>0</v>
      </c>
      <c r="AH26" s="7"/>
      <c r="AI26" s="7"/>
      <c r="AJ26" s="7"/>
      <c r="AK26" s="7"/>
      <c r="AL26" s="7"/>
      <c r="AM26" s="7">
        <f>IF(AND(AM22=REGION_NAME,OR(INN="7708503727",INN="7704726225")),1,0)</f>
        <v>0</v>
      </c>
    </row>
    <row r="27" spans="4:39" ht="22.5" hidden="1" customHeight="1">
      <c r="D27" s="3">
        <v>36</v>
      </c>
      <c r="AB27" s="8"/>
      <c r="AC27" s="6">
        <f t="shared" si="0"/>
        <v>0</v>
      </c>
      <c r="AD27" s="7"/>
      <c r="AE27" s="7"/>
      <c r="AF27" s="7"/>
      <c r="AG27" s="7"/>
      <c r="AH27" s="7"/>
      <c r="AI27" s="7"/>
      <c r="AJ27" s="7"/>
      <c r="AK27" s="7"/>
      <c r="AL27" s="7"/>
      <c r="AM27" s="7"/>
    </row>
    <row r="28" spans="4:39" ht="22.5" hidden="1" customHeight="1">
      <c r="D28" s="3">
        <v>36</v>
      </c>
      <c r="AB28" s="5" t="s">
        <v>17</v>
      </c>
      <c r="AC28" s="6">
        <f t="shared" si="0"/>
        <v>0</v>
      </c>
      <c r="AD28" s="7"/>
      <c r="AE28" s="7"/>
      <c r="AF28" s="7">
        <f>IF(AF$22=REGION_NAME,1,0)</f>
        <v>0</v>
      </c>
      <c r="AG28" s="7"/>
      <c r="AH28" s="7"/>
      <c r="AI28" s="7"/>
      <c r="AJ28" s="7"/>
      <c r="AK28" s="7"/>
      <c r="AL28" s="7"/>
      <c r="AM28" s="7"/>
    </row>
    <row r="29" spans="4:39" ht="22.5" hidden="1" customHeight="1">
      <c r="D29" s="3">
        <v>36</v>
      </c>
      <c r="AB29" s="5" t="s">
        <v>18</v>
      </c>
      <c r="AC29" s="6">
        <f t="shared" si="0"/>
        <v>0</v>
      </c>
      <c r="AD29" s="7"/>
      <c r="AE29" s="7"/>
      <c r="AF29" s="7"/>
      <c r="AG29" s="7"/>
      <c r="AH29" s="7">
        <f>IF(AH$22=REGION_NAME,1,0)</f>
        <v>0</v>
      </c>
      <c r="AI29" s="7"/>
      <c r="AJ29" s="7">
        <f>IF(OR(REGION_NAME="Ульяновская область",REGION_NAME="Республика Крым"),1,0)</f>
        <v>0</v>
      </c>
      <c r="AK29" s="7"/>
      <c r="AL29" s="7"/>
      <c r="AM29" s="7"/>
    </row>
    <row r="30" spans="4:39" ht="22.5" hidden="1" customHeight="1">
      <c r="D30" s="3">
        <v>36</v>
      </c>
      <c r="AB30" s="5" t="s">
        <v>19</v>
      </c>
      <c r="AC30" s="6">
        <f t="shared" si="0"/>
        <v>0</v>
      </c>
      <c r="AD30" s="7"/>
      <c r="AE30" s="7"/>
      <c r="AF30" s="7"/>
      <c r="AG30" s="7"/>
      <c r="AH30" s="7"/>
      <c r="AI30" s="7">
        <f>IF(AI$22=REGION_NAME,1,0)</f>
        <v>0</v>
      </c>
      <c r="AJ30" s="7"/>
      <c r="AK30" s="7"/>
      <c r="AL30" s="7"/>
      <c r="AM30" s="7"/>
    </row>
    <row r="31" spans="4:39" ht="22.5" hidden="1" customHeight="1">
      <c r="D31" s="3">
        <v>36</v>
      </c>
      <c r="AB31" s="777" t="s">
        <v>20</v>
      </c>
      <c r="AC31" s="778"/>
      <c r="AD31" s="778"/>
      <c r="AE31" s="779"/>
    </row>
    <row r="32" spans="4:39" ht="22.5" hidden="1" customHeight="1">
      <c r="D32" s="3">
        <v>36</v>
      </c>
    </row>
    <row r="33" spans="4:29" ht="22.5" hidden="1" customHeight="1">
      <c r="D33" s="3">
        <v>36</v>
      </c>
      <c r="AB33" s="9" t="s">
        <v>21</v>
      </c>
      <c r="AC33" s="10">
        <v>0</v>
      </c>
    </row>
    <row r="34" spans="4:29" ht="22.5" hidden="1" customHeight="1">
      <c r="D34" s="3">
        <v>36</v>
      </c>
      <c r="AB34" s="9" t="s">
        <v>22</v>
      </c>
      <c r="AC34" s="10">
        <v>0</v>
      </c>
    </row>
    <row r="35" spans="4:29" ht="22.5" hidden="1" customHeight="1">
      <c r="D35" s="3">
        <v>36</v>
      </c>
      <c r="AB35" s="9" t="s">
        <v>3</v>
      </c>
      <c r="AC35" s="10">
        <v>0</v>
      </c>
    </row>
    <row r="36" spans="4:29" ht="22.5" hidden="1" customHeight="1">
      <c r="D36" s="3">
        <v>36</v>
      </c>
      <c r="AB36" s="9" t="s">
        <v>23</v>
      </c>
      <c r="AC36" s="10">
        <v>0</v>
      </c>
    </row>
    <row r="37" spans="4:29" ht="22.5" hidden="1" customHeight="1">
      <c r="D37" s="3">
        <v>36</v>
      </c>
      <c r="AB37" s="9" t="s">
        <v>24</v>
      </c>
      <c r="AC37" s="10">
        <v>0</v>
      </c>
    </row>
    <row r="38" spans="4:29" ht="22.5" hidden="1" customHeight="1">
      <c r="D38" s="3">
        <v>36</v>
      </c>
      <c r="AB38" s="9" t="s">
        <v>8</v>
      </c>
      <c r="AC38" s="10">
        <v>1</v>
      </c>
    </row>
    <row r="39" spans="4:29" ht="22.5" hidden="1" customHeight="1">
      <c r="D39" s="3">
        <v>36</v>
      </c>
      <c r="AB39" s="9" t="s">
        <v>25</v>
      </c>
      <c r="AC39" s="10">
        <v>0</v>
      </c>
    </row>
    <row r="40" spans="4:29" ht="22.5" hidden="1" customHeight="1">
      <c r="D40" s="3">
        <v>36</v>
      </c>
      <c r="AB40" s="9" t="s">
        <v>26</v>
      </c>
      <c r="AC40" s="10">
        <v>0</v>
      </c>
    </row>
    <row r="41" spans="4:29" ht="22.5" hidden="1" customHeight="1">
      <c r="D41" s="3">
        <v>36</v>
      </c>
      <c r="AB41" s="9" t="s">
        <v>27</v>
      </c>
      <c r="AC41" s="10">
        <v>0</v>
      </c>
    </row>
    <row r="42" spans="4:29" ht="22.5" hidden="1" customHeight="1">
      <c r="D42" s="3">
        <v>36</v>
      </c>
      <c r="AB42" s="9" t="s">
        <v>7</v>
      </c>
      <c r="AC42" s="10">
        <v>0</v>
      </c>
    </row>
    <row r="43" spans="4:29" ht="22.5" hidden="1" customHeight="1">
      <c r="D43" s="3">
        <v>36</v>
      </c>
      <c r="AB43" s="9" t="s">
        <v>28</v>
      </c>
      <c r="AC43" s="10">
        <v>0</v>
      </c>
    </row>
    <row r="44" spans="4:29" ht="22.5" hidden="1" customHeight="1">
      <c r="D44" s="3">
        <v>36</v>
      </c>
      <c r="AB44" s="9" t="s">
        <v>5</v>
      </c>
      <c r="AC44" s="10">
        <v>0</v>
      </c>
    </row>
    <row r="45" spans="4:29" ht="22.5" hidden="1" customHeight="1">
      <c r="D45" s="3">
        <v>36</v>
      </c>
      <c r="AB45" s="9" t="s">
        <v>29</v>
      </c>
      <c r="AC45" s="10">
        <v>0</v>
      </c>
    </row>
    <row r="46" spans="4:29" ht="22.5" hidden="1" customHeight="1">
      <c r="D46" s="3">
        <v>36</v>
      </c>
      <c r="AB46" s="9" t="s">
        <v>30</v>
      </c>
      <c r="AC46" s="10">
        <v>0</v>
      </c>
    </row>
    <row r="47" spans="4:29" ht="22.5" hidden="1" customHeight="1">
      <c r="D47" s="3">
        <v>36</v>
      </c>
      <c r="AB47" s="9" t="s">
        <v>31</v>
      </c>
      <c r="AC47" s="10">
        <v>0</v>
      </c>
    </row>
    <row r="48" spans="4:29" ht="22.5" hidden="1" customHeight="1">
      <c r="D48" s="3">
        <v>36</v>
      </c>
      <c r="AB48" s="9" t="s">
        <v>32</v>
      </c>
      <c r="AC48" s="10">
        <v>0</v>
      </c>
    </row>
    <row r="49" spans="4:29" ht="22.5" hidden="1" customHeight="1">
      <c r="D49" s="3">
        <v>36</v>
      </c>
      <c r="AB49" s="9" t="s">
        <v>33</v>
      </c>
      <c r="AC49" s="10">
        <v>0</v>
      </c>
    </row>
    <row r="50" spans="4:29" ht="22.5" hidden="1" customHeight="1">
      <c r="D50" s="3">
        <v>36</v>
      </c>
      <c r="AB50" s="9" t="s">
        <v>34</v>
      </c>
      <c r="AC50" s="10">
        <v>0</v>
      </c>
    </row>
    <row r="51" spans="4:29" ht="22.5" hidden="1" customHeight="1">
      <c r="D51" s="3">
        <v>36</v>
      </c>
      <c r="AB51" s="9" t="s">
        <v>35</v>
      </c>
      <c r="AC51" s="10">
        <v>0</v>
      </c>
    </row>
    <row r="52" spans="4:29" ht="22.5" hidden="1" customHeight="1">
      <c r="D52" s="3">
        <v>36</v>
      </c>
      <c r="AB52" s="9" t="s">
        <v>36</v>
      </c>
      <c r="AC52" s="10">
        <v>0</v>
      </c>
    </row>
    <row r="53" spans="4:29" ht="22.5" hidden="1" customHeight="1">
      <c r="D53" s="3">
        <v>36</v>
      </c>
      <c r="AB53" s="9" t="s">
        <v>37</v>
      </c>
      <c r="AC53" s="10">
        <v>0</v>
      </c>
    </row>
    <row r="54" spans="4:29" ht="22.5" hidden="1" customHeight="1">
      <c r="D54" s="3">
        <v>36</v>
      </c>
      <c r="AB54" s="9" t="s">
        <v>38</v>
      </c>
      <c r="AC54" s="10">
        <v>1</v>
      </c>
    </row>
    <row r="55" spans="4:29" ht="22.5" hidden="1" customHeight="1">
      <c r="D55" s="3">
        <v>36</v>
      </c>
      <c r="AB55" s="9" t="s">
        <v>6</v>
      </c>
      <c r="AC55" s="10">
        <v>0</v>
      </c>
    </row>
    <row r="56" spans="4:29" ht="22.5" hidden="1" customHeight="1">
      <c r="D56" s="3">
        <v>36</v>
      </c>
      <c r="AB56" s="9" t="s">
        <v>39</v>
      </c>
      <c r="AC56" s="10">
        <v>0</v>
      </c>
    </row>
    <row r="57" spans="4:29" ht="27" customHeight="1">
      <c r="D57" s="1">
        <v>36</v>
      </c>
    </row>
    <row r="58" spans="4:29" ht="22.5" hidden="1" customHeight="1">
      <c r="D58" s="1">
        <v>0</v>
      </c>
    </row>
    <row r="59" spans="4:29" ht="29.25" customHeight="1">
      <c r="D59" s="1">
        <v>39</v>
      </c>
      <c r="AB59" s="780" t="s">
        <v>40</v>
      </c>
      <c r="AC59" s="780"/>
    </row>
    <row r="60" spans="4:29" ht="14.25" customHeight="1">
      <c r="D60" s="1">
        <v>19</v>
      </c>
    </row>
    <row r="61" spans="4:29" ht="11.25" hidden="1" customHeight="1">
      <c r="D61" s="1">
        <v>0</v>
      </c>
    </row>
    <row r="62" spans="4:29" ht="36" customHeight="1">
      <c r="D62" s="1">
        <v>48</v>
      </c>
      <c r="AB62" s="11" t="s">
        <v>41</v>
      </c>
      <c r="AC62" s="12" t="s">
        <v>29</v>
      </c>
    </row>
    <row r="63" spans="4:29" ht="3" customHeight="1">
      <c r="D63" s="1">
        <v>4</v>
      </c>
    </row>
    <row r="64" spans="4:29" ht="2.25" hidden="1" customHeight="1">
      <c r="D64" s="1">
        <v>0</v>
      </c>
    </row>
    <row r="65" spans="4:40" ht="36" customHeight="1">
      <c r="D65" s="1">
        <v>48</v>
      </c>
      <c r="AB65" s="11" t="s">
        <v>1</v>
      </c>
      <c r="AC65" s="13" t="s">
        <v>16</v>
      </c>
    </row>
    <row r="66" spans="4:40" ht="11.25" hidden="1" customHeight="1">
      <c r="D66">
        <v>0</v>
      </c>
      <c r="AN66" t="s">
        <v>42</v>
      </c>
    </row>
  </sheetData>
  <sheetProtection formatColumns="0" formatRows="0" insertRows="0" deleteColumns="0" deleteRows="0" sort="0" autoFilter="0"/>
  <mergeCells count="3">
    <mergeCell ref="AB21:AE21"/>
    <mergeCell ref="AB31:AE31"/>
    <mergeCell ref="AB59:AC59"/>
  </mergeCells>
  <dataValidations count="2">
    <dataValidation type="list" allowBlank="1" showInputMessage="1" showErrorMessage="1" sqref="AC62" xr:uid="{00000000-0002-0000-0100-000000000000}">
      <formula1>REGIONS</formula1>
    </dataValidation>
    <dataValidation type="list" allowBlank="1" showInputMessage="1" showErrorMessage="1" sqref="AC65" xr:uid="{00000000-0002-0000-0100-000001000000}">
      <formula1>METOD_RASCHETA_TARIFA</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99"/>
  </sheetPr>
  <dimension ref="A1:AD143"/>
  <sheetViews>
    <sheetView showGridLines="0" workbookViewId="0"/>
  </sheetViews>
  <sheetFormatPr defaultColWidth="9.140625" defaultRowHeight="11.45" customHeight="1"/>
  <cols>
    <col min="1" max="1" width="32.5703125" customWidth="1"/>
    <col min="2" max="2" width="31.7109375" customWidth="1"/>
    <col min="3" max="3" width="22.5703125" customWidth="1"/>
    <col min="4" max="4" width="40.7109375" customWidth="1"/>
    <col min="5" max="5" width="41" customWidth="1"/>
    <col min="8" max="8" width="19.85546875" customWidth="1"/>
    <col min="10" max="10" width="40.140625" customWidth="1"/>
    <col min="13" max="13" width="23.140625" customWidth="1"/>
    <col min="14" max="14" width="25.5703125" customWidth="1"/>
    <col min="15" max="15" width="19.42578125" customWidth="1"/>
    <col min="16" max="16" width="35.28515625" customWidth="1"/>
    <col min="19" max="19" width="26" customWidth="1"/>
    <col min="22" max="22" width="10.5703125" customWidth="1"/>
    <col min="28" max="28" width="12.85546875" customWidth="1"/>
    <col min="30" max="30" width="14.42578125" customWidth="1"/>
  </cols>
  <sheetData>
    <row r="1" spans="1:30" ht="10.5" customHeight="1">
      <c r="A1" s="619" t="s">
        <v>44</v>
      </c>
      <c r="B1" s="619" t="s">
        <v>45</v>
      </c>
      <c r="C1" s="620" t="s">
        <v>46</v>
      </c>
      <c r="D1" s="621" t="s">
        <v>47</v>
      </c>
      <c r="E1" s="621" t="s">
        <v>48</v>
      </c>
    </row>
    <row r="2" spans="1:30" ht="13.5" customHeight="1">
      <c r="A2" s="622" t="s">
        <v>3</v>
      </c>
      <c r="B2" s="622" t="s">
        <v>49</v>
      </c>
      <c r="C2" s="622" t="s">
        <v>50</v>
      </c>
      <c r="D2" s="623" t="s">
        <v>51</v>
      </c>
      <c r="E2" s="624">
        <v>2022</v>
      </c>
      <c r="J2" s="621" t="s">
        <v>52</v>
      </c>
      <c r="K2" s="621" t="s">
        <v>53</v>
      </c>
      <c r="M2" s="621" t="s">
        <v>54</v>
      </c>
      <c r="N2" s="621" t="s">
        <v>55</v>
      </c>
      <c r="O2" s="621" t="s">
        <v>56</v>
      </c>
      <c r="P2" s="621" t="s">
        <v>57</v>
      </c>
      <c r="Q2" s="621" t="s">
        <v>58</v>
      </c>
      <c r="S2" s="621" t="s">
        <v>59</v>
      </c>
      <c r="V2" s="621" t="s">
        <v>60</v>
      </c>
      <c r="X2" s="621" t="s">
        <v>61</v>
      </c>
      <c r="Z2" s="621" t="s">
        <v>62</v>
      </c>
      <c r="AB2" s="621" t="s">
        <v>63</v>
      </c>
      <c r="AD2" s="621" t="s">
        <v>64</v>
      </c>
    </row>
    <row r="3" spans="1:30" ht="11.25" customHeight="1">
      <c r="A3" s="622" t="s">
        <v>65</v>
      </c>
      <c r="B3" s="622" t="s">
        <v>66</v>
      </c>
      <c r="D3" s="623" t="s">
        <v>67</v>
      </c>
      <c r="J3" s="625">
        <v>1</v>
      </c>
      <c r="K3" s="626">
        <v>2015</v>
      </c>
      <c r="M3" s="624" t="s">
        <v>68</v>
      </c>
      <c r="N3" s="624" t="s">
        <v>69</v>
      </c>
      <c r="O3" s="624" t="s">
        <v>70</v>
      </c>
      <c r="P3" s="624" t="s">
        <v>51</v>
      </c>
      <c r="Q3" s="624" t="s">
        <v>71</v>
      </c>
      <c r="S3" s="627" t="s">
        <v>72</v>
      </c>
      <c r="V3" s="628" t="s">
        <v>73</v>
      </c>
      <c r="X3" s="628" t="s">
        <v>74</v>
      </c>
      <c r="Z3" s="628" t="s">
        <v>75</v>
      </c>
      <c r="AB3" s="628" t="s">
        <v>76</v>
      </c>
      <c r="AD3" s="628" t="s">
        <v>77</v>
      </c>
    </row>
    <row r="4" spans="1:30" ht="11.25" customHeight="1">
      <c r="A4" s="622" t="s">
        <v>78</v>
      </c>
      <c r="B4" s="622"/>
      <c r="C4" s="620" t="s">
        <v>79</v>
      </c>
      <c r="J4" s="625">
        <v>3</v>
      </c>
      <c r="K4" s="626">
        <v>2016</v>
      </c>
      <c r="M4" s="624" t="s">
        <v>80</v>
      </c>
      <c r="N4" s="624" t="s">
        <v>81</v>
      </c>
      <c r="O4" s="624" t="s">
        <v>82</v>
      </c>
      <c r="P4" s="624" t="s">
        <v>67</v>
      </c>
      <c r="Q4" s="624" t="s">
        <v>83</v>
      </c>
      <c r="S4" s="627" t="s">
        <v>84</v>
      </c>
      <c r="V4" s="628" t="s">
        <v>85</v>
      </c>
      <c r="X4" s="628" t="s">
        <v>86</v>
      </c>
      <c r="Z4" s="628" t="s">
        <v>87</v>
      </c>
      <c r="AB4" s="628" t="s">
        <v>88</v>
      </c>
      <c r="AD4" s="628" t="s">
        <v>89</v>
      </c>
    </row>
    <row r="5" spans="1:30" ht="11.25" customHeight="1">
      <c r="A5" s="622" t="s">
        <v>8</v>
      </c>
      <c r="B5" s="622"/>
      <c r="C5" s="622" t="s">
        <v>90</v>
      </c>
      <c r="D5" s="621" t="s">
        <v>91</v>
      </c>
      <c r="J5" s="625">
        <v>4</v>
      </c>
      <c r="K5" s="626">
        <v>2017</v>
      </c>
      <c r="M5" s="624" t="s">
        <v>92</v>
      </c>
      <c r="N5" s="624" t="s">
        <v>93</v>
      </c>
      <c r="O5" s="624" t="s">
        <v>94</v>
      </c>
      <c r="P5" s="624" t="s">
        <v>95</v>
      </c>
      <c r="S5" s="627" t="s">
        <v>96</v>
      </c>
      <c r="V5" s="628" t="s">
        <v>97</v>
      </c>
      <c r="Z5" s="628" t="s">
        <v>98</v>
      </c>
      <c r="AB5" s="628" t="s">
        <v>99</v>
      </c>
    </row>
    <row r="6" spans="1:30" ht="11.25" customHeight="1">
      <c r="A6" s="622" t="s">
        <v>7</v>
      </c>
      <c r="B6" s="622"/>
      <c r="D6" s="623" t="s">
        <v>100</v>
      </c>
      <c r="J6" s="625">
        <v>5</v>
      </c>
      <c r="K6" s="626">
        <v>2018</v>
      </c>
      <c r="N6" s="624" t="s">
        <v>101</v>
      </c>
      <c r="Z6" s="628" t="s">
        <v>102</v>
      </c>
      <c r="AB6" s="628" t="s">
        <v>103</v>
      </c>
    </row>
    <row r="7" spans="1:30" ht="11.25" customHeight="1">
      <c r="A7" s="622" t="s">
        <v>12</v>
      </c>
      <c r="B7" s="622"/>
      <c r="C7" s="620" t="s">
        <v>104</v>
      </c>
      <c r="D7" s="623" t="s">
        <v>105</v>
      </c>
      <c r="J7" s="625">
        <v>10</v>
      </c>
      <c r="K7" s="626">
        <v>2019</v>
      </c>
      <c r="N7" s="624" t="s">
        <v>106</v>
      </c>
      <c r="AB7" s="628" t="s">
        <v>107</v>
      </c>
    </row>
    <row r="8" spans="1:30" ht="11.25" customHeight="1">
      <c r="A8" s="622" t="s">
        <v>5</v>
      </c>
      <c r="B8" s="622"/>
      <c r="C8" s="629" t="s">
        <v>108</v>
      </c>
      <c r="D8" s="623" t="s">
        <v>109</v>
      </c>
      <c r="J8" s="621" t="s">
        <v>110</v>
      </c>
      <c r="K8" s="626">
        <v>2020</v>
      </c>
      <c r="N8" s="624" t="s">
        <v>111</v>
      </c>
      <c r="AB8" s="628" t="s">
        <v>112</v>
      </c>
    </row>
    <row r="9" spans="1:30" ht="11.25" customHeight="1">
      <c r="A9" s="622" t="s">
        <v>29</v>
      </c>
      <c r="D9" s="623" t="s">
        <v>113</v>
      </c>
      <c r="J9" s="630">
        <f>FIRST_PERIOD_IN_LT</f>
        <v>2026</v>
      </c>
      <c r="K9" s="626">
        <v>2021</v>
      </c>
      <c r="M9" s="621" t="s">
        <v>114</v>
      </c>
      <c r="N9" s="621" t="s">
        <v>115</v>
      </c>
      <c r="O9" s="621" t="s">
        <v>116</v>
      </c>
    </row>
    <row r="10" spans="1:30" ht="9.75" customHeight="1">
      <c r="A10" s="622" t="s">
        <v>32</v>
      </c>
      <c r="C10" s="620" t="s">
        <v>117</v>
      </c>
      <c r="D10" s="623" t="s">
        <v>118</v>
      </c>
      <c r="K10" s="626">
        <v>2022</v>
      </c>
      <c r="M10" s="624" t="s">
        <v>80</v>
      </c>
      <c r="N10" s="624" t="s">
        <v>51</v>
      </c>
      <c r="O10" s="624" t="s">
        <v>119</v>
      </c>
    </row>
    <row r="11" spans="1:30" ht="11.25" customHeight="1">
      <c r="A11" s="622" t="s">
        <v>33</v>
      </c>
      <c r="C11" s="629" t="s">
        <v>120</v>
      </c>
      <c r="D11" s="623" t="s">
        <v>121</v>
      </c>
      <c r="J11" s="621" t="s">
        <v>122</v>
      </c>
      <c r="K11" s="626">
        <v>2023</v>
      </c>
      <c r="M11" s="624" t="s">
        <v>92</v>
      </c>
      <c r="N11" s="624" t="s">
        <v>67</v>
      </c>
      <c r="O11" s="624" t="s">
        <v>123</v>
      </c>
      <c r="S11" s="621" t="s">
        <v>124</v>
      </c>
      <c r="V11" s="621" t="s">
        <v>125</v>
      </c>
      <c r="X11" s="621" t="s">
        <v>126</v>
      </c>
      <c r="Z11" s="621" t="s">
        <v>127</v>
      </c>
      <c r="AB11" s="621" t="s">
        <v>128</v>
      </c>
      <c r="AD11" s="621" t="s">
        <v>129</v>
      </c>
    </row>
    <row r="12" spans="1:30" ht="11.25" customHeight="1">
      <c r="A12" s="622" t="s">
        <v>130</v>
      </c>
      <c r="D12" s="623" t="s">
        <v>131</v>
      </c>
      <c r="J12" s="630">
        <f>FIRST_PERIOD_IN_LT</f>
        <v>2026</v>
      </c>
      <c r="K12" s="626">
        <v>2024</v>
      </c>
      <c r="M12" s="624" t="s">
        <v>68</v>
      </c>
      <c r="O12" s="624" t="s">
        <v>132</v>
      </c>
      <c r="S12" s="631" t="s">
        <v>13</v>
      </c>
      <c r="V12" s="628" t="s">
        <v>133</v>
      </c>
      <c r="X12" s="628" t="s">
        <v>134</v>
      </c>
      <c r="Z12" s="628" t="s">
        <v>135</v>
      </c>
      <c r="AB12" s="628" t="s">
        <v>76</v>
      </c>
      <c r="AD12" s="628" t="s">
        <v>136</v>
      </c>
    </row>
    <row r="13" spans="1:30" ht="11.25" customHeight="1">
      <c r="A13" s="632" t="s">
        <v>38</v>
      </c>
      <c r="D13" s="623" t="s">
        <v>137</v>
      </c>
      <c r="J13" s="630">
        <f>FIRST_PERIOD_IN_LT+1</f>
        <v>2027</v>
      </c>
      <c r="K13" s="626">
        <v>2025</v>
      </c>
      <c r="M13" s="624" t="s">
        <v>138</v>
      </c>
      <c r="O13" s="624" t="s">
        <v>139</v>
      </c>
      <c r="S13" s="631" t="s">
        <v>14</v>
      </c>
      <c r="V13" s="628" t="s">
        <v>140</v>
      </c>
      <c r="X13" s="628" t="s">
        <v>141</v>
      </c>
      <c r="Z13" s="628" t="s">
        <v>142</v>
      </c>
      <c r="AB13" s="628" t="s">
        <v>88</v>
      </c>
      <c r="AD13" s="628" t="s">
        <v>143</v>
      </c>
    </row>
    <row r="14" spans="1:30" ht="11.25" customHeight="1">
      <c r="A14" s="622" t="s">
        <v>6</v>
      </c>
      <c r="D14" s="623" t="s">
        <v>144</v>
      </c>
      <c r="J14" s="630">
        <f>FIRST_PERIOD_IN_LT+2</f>
        <v>2028</v>
      </c>
      <c r="K14" s="626">
        <v>2026</v>
      </c>
      <c r="M14" s="624" t="s">
        <v>145</v>
      </c>
      <c r="S14" s="631" t="s">
        <v>15</v>
      </c>
      <c r="V14" s="628" t="s">
        <v>146</v>
      </c>
      <c r="AB14" s="628" t="s">
        <v>99</v>
      </c>
      <c r="AD14" s="628" t="s">
        <v>147</v>
      </c>
    </row>
    <row r="15" spans="1:30" ht="11.25" customHeight="1">
      <c r="A15" s="622" t="s">
        <v>4</v>
      </c>
      <c r="D15" s="623" t="s">
        <v>148</v>
      </c>
      <c r="K15" s="626">
        <v>2027</v>
      </c>
      <c r="M15" s="624" t="s">
        <v>149</v>
      </c>
      <c r="S15" s="631" t="s">
        <v>16</v>
      </c>
      <c r="V15" s="628" t="s">
        <v>150</v>
      </c>
      <c r="AB15" s="628" t="s">
        <v>151</v>
      </c>
      <c r="AD15" s="628" t="s">
        <v>152</v>
      </c>
    </row>
    <row r="16" spans="1:30" ht="9.75" customHeight="1">
      <c r="A16" s="622" t="s">
        <v>153</v>
      </c>
      <c r="D16" s="623" t="s">
        <v>154</v>
      </c>
      <c r="J16" s="621" t="s">
        <v>155</v>
      </c>
      <c r="K16" s="626">
        <v>2028</v>
      </c>
      <c r="M16" s="624" t="s">
        <v>156</v>
      </c>
      <c r="S16" s="631" t="s">
        <v>17</v>
      </c>
      <c r="V16" s="628" t="s">
        <v>157</v>
      </c>
      <c r="AB16" s="628" t="s">
        <v>158</v>
      </c>
      <c r="AD16" s="628" t="s">
        <v>159</v>
      </c>
    </row>
    <row r="17" spans="1:30" ht="11.25" customHeight="1">
      <c r="A17" s="622"/>
      <c r="D17" s="623" t="s">
        <v>160</v>
      </c>
      <c r="J17" s="630">
        <f>FIRST_PERIOD_IN_LT</f>
        <v>2026</v>
      </c>
      <c r="K17" s="626">
        <v>2029</v>
      </c>
      <c r="M17" s="624" t="s">
        <v>161</v>
      </c>
      <c r="S17" s="631" t="s">
        <v>18</v>
      </c>
      <c r="V17" s="628" t="s">
        <v>162</v>
      </c>
      <c r="AB17" s="628" t="s">
        <v>163</v>
      </c>
    </row>
    <row r="18" spans="1:30" ht="11.25" customHeight="1">
      <c r="A18" s="622"/>
      <c r="J18" s="630">
        <f>FIRST_PERIOD_IN_LT+1</f>
        <v>2027</v>
      </c>
      <c r="K18" s="626">
        <v>2030</v>
      </c>
      <c r="S18" s="631" t="s">
        <v>19</v>
      </c>
      <c r="V18" s="628" t="s">
        <v>164</v>
      </c>
      <c r="AB18" s="628" t="s">
        <v>165</v>
      </c>
    </row>
    <row r="19" spans="1:30" ht="11.25" customHeight="1">
      <c r="A19" s="622"/>
      <c r="J19" s="630">
        <f>FIRST_PERIOD_IN_LT+2</f>
        <v>2028</v>
      </c>
      <c r="K19" s="626">
        <v>2031</v>
      </c>
      <c r="AB19" s="628" t="s">
        <v>107</v>
      </c>
    </row>
    <row r="20" spans="1:30" ht="11.25" customHeight="1">
      <c r="A20" s="622"/>
      <c r="D20" s="783" t="s">
        <v>166</v>
      </c>
      <c r="E20" s="784"/>
      <c r="F20" s="784"/>
      <c r="G20" s="784"/>
      <c r="H20" s="784"/>
      <c r="J20" s="630">
        <f>FIRST_PERIOD_IN_LT+3</f>
        <v>2029</v>
      </c>
      <c r="K20" s="626">
        <v>2032</v>
      </c>
      <c r="M20" s="621" t="s">
        <v>167</v>
      </c>
      <c r="N20" s="621" t="s">
        <v>168</v>
      </c>
      <c r="O20" s="621" t="s">
        <v>169</v>
      </c>
      <c r="P20" s="621" t="s">
        <v>170</v>
      </c>
      <c r="AB20" s="628" t="s">
        <v>112</v>
      </c>
    </row>
    <row r="21" spans="1:30" ht="9.75" customHeight="1">
      <c r="A21" s="622"/>
      <c r="E21" s="633" t="s">
        <v>171</v>
      </c>
      <c r="F21" s="633" t="s">
        <v>172</v>
      </c>
      <c r="G21" s="633" t="s">
        <v>173</v>
      </c>
      <c r="H21" s="633" t="s">
        <v>174</v>
      </c>
      <c r="K21" s="626">
        <v>2033</v>
      </c>
      <c r="M21" s="624" t="s">
        <v>175</v>
      </c>
      <c r="N21" s="624" t="s">
        <v>176</v>
      </c>
      <c r="O21" s="624" t="s">
        <v>177</v>
      </c>
      <c r="P21" s="624" t="s">
        <v>178</v>
      </c>
    </row>
    <row r="22" spans="1:30" ht="9.75" customHeight="1">
      <c r="A22" s="622"/>
      <c r="D22" s="633" t="s">
        <v>179</v>
      </c>
      <c r="E22" s="634" t="b">
        <v>1</v>
      </c>
      <c r="F22" s="634" t="s">
        <v>180</v>
      </c>
      <c r="G22" s="634" t="s">
        <v>181</v>
      </c>
      <c r="H22" s="634">
        <v>26320092</v>
      </c>
      <c r="J22" s="621" t="s">
        <v>182</v>
      </c>
      <c r="K22" s="626">
        <v>2034</v>
      </c>
      <c r="M22" s="624" t="s">
        <v>183</v>
      </c>
      <c r="N22" s="624" t="s">
        <v>184</v>
      </c>
      <c r="O22" s="624" t="s">
        <v>185</v>
      </c>
      <c r="P22" s="624" t="s">
        <v>186</v>
      </c>
    </row>
    <row r="23" spans="1:30" ht="11.25" customHeight="1">
      <c r="A23" s="622"/>
      <c r="D23" s="635" t="s">
        <v>187</v>
      </c>
      <c r="E23" s="634"/>
      <c r="J23" s="630">
        <f>FIRST_PERIOD_IN_LT</f>
        <v>2026</v>
      </c>
      <c r="K23" s="626">
        <v>2035</v>
      </c>
      <c r="M23" s="624" t="s">
        <v>188</v>
      </c>
      <c r="O23" s="624" t="s">
        <v>189</v>
      </c>
      <c r="P23" s="624" t="s">
        <v>190</v>
      </c>
      <c r="V23" s="621" t="s">
        <v>191</v>
      </c>
      <c r="X23" s="621" t="s">
        <v>192</v>
      </c>
      <c r="Z23" s="621" t="s">
        <v>193</v>
      </c>
    </row>
    <row r="24" spans="1:30" ht="12.75" customHeight="1">
      <c r="A24" s="622"/>
      <c r="J24" s="630">
        <f>FIRST_PERIOD_IN_LT+1</f>
        <v>2027</v>
      </c>
      <c r="M24" s="624" t="s">
        <v>194</v>
      </c>
      <c r="P24" s="624" t="s">
        <v>189</v>
      </c>
      <c r="V24" s="628" t="s">
        <v>195</v>
      </c>
      <c r="X24" s="15" t="s">
        <v>196</v>
      </c>
      <c r="Z24" s="15" t="s">
        <v>197</v>
      </c>
    </row>
    <row r="25" spans="1:30" ht="11.25" customHeight="1">
      <c r="A25" s="622"/>
      <c r="D25" s="783" t="s">
        <v>198</v>
      </c>
      <c r="E25" s="784"/>
      <c r="F25" s="784"/>
      <c r="G25" s="784"/>
      <c r="H25" s="784"/>
      <c r="J25" s="630">
        <f>FIRST_PERIOD_IN_LT+2</f>
        <v>2028</v>
      </c>
      <c r="M25" s="624" t="s">
        <v>67</v>
      </c>
      <c r="V25" s="628" t="s">
        <v>199</v>
      </c>
      <c r="X25" s="15" t="s">
        <v>200</v>
      </c>
      <c r="Z25" s="15" t="s">
        <v>201</v>
      </c>
    </row>
    <row r="26" spans="1:30" ht="11.25" customHeight="1">
      <c r="A26" s="622"/>
      <c r="E26" s="633" t="s">
        <v>171</v>
      </c>
      <c r="F26" s="633" t="s">
        <v>202</v>
      </c>
      <c r="G26" s="633" t="s">
        <v>173</v>
      </c>
      <c r="H26" s="633" t="s">
        <v>174</v>
      </c>
      <c r="J26" s="630">
        <f>FIRST_PERIOD_IN_LT+3</f>
        <v>2029</v>
      </c>
      <c r="V26" s="628" t="s">
        <v>203</v>
      </c>
      <c r="X26" s="15" t="s">
        <v>204</v>
      </c>
      <c r="Z26" s="15" t="s">
        <v>205</v>
      </c>
    </row>
    <row r="27" spans="1:30" ht="11.25" customHeight="1">
      <c r="A27" s="622"/>
      <c r="D27" s="635" t="s">
        <v>206</v>
      </c>
      <c r="E27" s="634"/>
      <c r="F27" s="634"/>
      <c r="H27" s="634"/>
      <c r="J27" s="630">
        <f>FIRST_PERIOD_IN_LT+4</f>
        <v>2030</v>
      </c>
      <c r="V27" s="628" t="s">
        <v>207</v>
      </c>
      <c r="X27" s="15" t="s">
        <v>208</v>
      </c>
      <c r="Z27" s="15" t="s">
        <v>209</v>
      </c>
    </row>
    <row r="28" spans="1:30" ht="9.75" customHeight="1">
      <c r="A28" s="622"/>
      <c r="D28" s="635" t="s">
        <v>210</v>
      </c>
      <c r="E28" s="634" t="b">
        <v>1</v>
      </c>
      <c r="F28" s="634">
        <v>2769</v>
      </c>
      <c r="H28" s="634" t="s">
        <v>211</v>
      </c>
      <c r="M28" s="621" t="s">
        <v>212</v>
      </c>
      <c r="N28" s="621" t="s">
        <v>213</v>
      </c>
      <c r="O28" s="621" t="s">
        <v>214</v>
      </c>
      <c r="P28" s="621" t="s">
        <v>215</v>
      </c>
      <c r="V28" s="628" t="s">
        <v>216</v>
      </c>
      <c r="X28" s="15" t="s">
        <v>217</v>
      </c>
      <c r="Z28" s="15" t="s">
        <v>218</v>
      </c>
    </row>
    <row r="29" spans="1:30" ht="9.75" customHeight="1">
      <c r="A29" s="622"/>
      <c r="J29" s="621" t="s">
        <v>219</v>
      </c>
      <c r="M29" s="15" t="s">
        <v>220</v>
      </c>
      <c r="N29" s="624" t="s">
        <v>221</v>
      </c>
      <c r="O29" s="624" t="s">
        <v>222</v>
      </c>
      <c r="P29" s="624" t="s">
        <v>223</v>
      </c>
      <c r="V29" s="628" t="s">
        <v>224</v>
      </c>
    </row>
    <row r="30" spans="1:30" ht="9.75" customHeight="1">
      <c r="A30" s="632"/>
      <c r="J30" s="626">
        <v>2018</v>
      </c>
      <c r="M30" s="15" t="s">
        <v>225</v>
      </c>
      <c r="N30" s="624" t="s">
        <v>226</v>
      </c>
      <c r="O30" s="624" t="s">
        <v>227</v>
      </c>
      <c r="P30" s="624" t="s">
        <v>228</v>
      </c>
    </row>
    <row r="31" spans="1:30" ht="9.75" customHeight="1">
      <c r="A31" s="632"/>
      <c r="J31" s="626">
        <v>2019</v>
      </c>
      <c r="M31" s="15" t="s">
        <v>229</v>
      </c>
      <c r="N31" s="624" t="s">
        <v>230</v>
      </c>
      <c r="O31" s="624" t="s">
        <v>231</v>
      </c>
    </row>
    <row r="32" spans="1:30" ht="9.75" customHeight="1">
      <c r="A32" s="632"/>
      <c r="J32" s="626">
        <v>2020</v>
      </c>
      <c r="M32" s="15" t="s">
        <v>232</v>
      </c>
      <c r="N32" s="624" t="s">
        <v>233</v>
      </c>
      <c r="O32" s="624" t="s">
        <v>189</v>
      </c>
      <c r="V32" s="621" t="s">
        <v>234</v>
      </c>
      <c r="X32" s="621" t="s">
        <v>235</v>
      </c>
      <c r="Z32" s="621" t="s">
        <v>236</v>
      </c>
      <c r="AB32" s="621" t="s">
        <v>237</v>
      </c>
      <c r="AD32" s="621" t="s">
        <v>238</v>
      </c>
    </row>
    <row r="33" spans="1:30" ht="9.75" customHeight="1">
      <c r="A33" s="632"/>
      <c r="J33" s="626">
        <v>2021</v>
      </c>
      <c r="M33" s="15" t="s">
        <v>239</v>
      </c>
      <c r="V33" s="628" t="s">
        <v>240</v>
      </c>
      <c r="X33" s="15" t="s">
        <v>241</v>
      </c>
      <c r="Z33" s="15" t="s">
        <v>242</v>
      </c>
      <c r="AB33" s="628" t="s">
        <v>243</v>
      </c>
      <c r="AD33" s="636">
        <v>1</v>
      </c>
    </row>
    <row r="34" spans="1:30" ht="9.75" customHeight="1">
      <c r="A34" s="632"/>
      <c r="J34" s="626">
        <v>2022</v>
      </c>
      <c r="V34" s="628" t="s">
        <v>244</v>
      </c>
      <c r="X34" s="15" t="s">
        <v>245</v>
      </c>
      <c r="Z34" s="15" t="s">
        <v>246</v>
      </c>
      <c r="AB34" s="628" t="s">
        <v>247</v>
      </c>
      <c r="AD34" s="636">
        <v>2</v>
      </c>
    </row>
    <row r="35" spans="1:30" ht="9.75" customHeight="1">
      <c r="A35" s="632"/>
      <c r="V35" s="628" t="s">
        <v>248</v>
      </c>
      <c r="Z35" s="15" t="s">
        <v>249</v>
      </c>
      <c r="AB35" s="628" t="s">
        <v>250</v>
      </c>
      <c r="AD35" s="636">
        <v>3</v>
      </c>
    </row>
    <row r="36" spans="1:30" ht="9.75" customHeight="1">
      <c r="A36" s="632"/>
      <c r="M36" s="621" t="s">
        <v>251</v>
      </c>
      <c r="V36" s="628" t="s">
        <v>252</v>
      </c>
      <c r="Z36" s="15" t="s">
        <v>253</v>
      </c>
      <c r="AB36" s="628" t="s">
        <v>254</v>
      </c>
      <c r="AD36" s="636">
        <v>4</v>
      </c>
    </row>
    <row r="37" spans="1:30" ht="9.75" customHeight="1">
      <c r="A37" s="632"/>
      <c r="J37" s="621" t="s">
        <v>255</v>
      </c>
      <c r="M37" s="624" t="s">
        <v>256</v>
      </c>
      <c r="V37" s="628" t="s">
        <v>257</v>
      </c>
      <c r="Z37" s="15" t="s">
        <v>258</v>
      </c>
      <c r="AD37" s="636">
        <v>5</v>
      </c>
    </row>
    <row r="38" spans="1:30" ht="9.75" customHeight="1">
      <c r="A38" s="632"/>
      <c r="J38" s="637" t="s">
        <v>259</v>
      </c>
      <c r="M38" s="624" t="s">
        <v>260</v>
      </c>
      <c r="V38" s="628" t="s">
        <v>261</v>
      </c>
      <c r="Z38" s="15" t="s">
        <v>262</v>
      </c>
      <c r="AD38" s="636">
        <v>6</v>
      </c>
    </row>
    <row r="39" spans="1:30" ht="9.75" customHeight="1">
      <c r="A39" s="632"/>
      <c r="J39" s="637" t="s">
        <v>263</v>
      </c>
      <c r="Z39" s="15" t="s">
        <v>264</v>
      </c>
      <c r="AD39" s="636">
        <v>7</v>
      </c>
    </row>
    <row r="40" spans="1:30" ht="9.75" customHeight="1">
      <c r="A40" s="632"/>
      <c r="J40" s="637" t="s">
        <v>265</v>
      </c>
      <c r="M40" s="621" t="s">
        <v>266</v>
      </c>
      <c r="Z40" s="15" t="s">
        <v>267</v>
      </c>
      <c r="AD40" s="636">
        <v>8</v>
      </c>
    </row>
    <row r="41" spans="1:30" ht="9.75" customHeight="1">
      <c r="A41" s="632"/>
      <c r="M41" s="624" t="s">
        <v>268</v>
      </c>
      <c r="Z41" s="15" t="s">
        <v>269</v>
      </c>
      <c r="AD41" s="636">
        <v>9</v>
      </c>
    </row>
    <row r="42" spans="1:30" ht="9.75" customHeight="1">
      <c r="A42" s="632"/>
      <c r="M42" s="624" t="s">
        <v>270</v>
      </c>
      <c r="Z42" s="15" t="s">
        <v>271</v>
      </c>
      <c r="AD42" s="636">
        <v>10</v>
      </c>
    </row>
    <row r="43" spans="1:30" ht="9.75" customHeight="1">
      <c r="A43" s="632"/>
      <c r="Z43" s="15" t="s">
        <v>272</v>
      </c>
    </row>
    <row r="44" spans="1:30" ht="9.75" customHeight="1">
      <c r="A44" s="632"/>
      <c r="J44" s="621" t="s">
        <v>273</v>
      </c>
      <c r="Z44" s="15" t="s">
        <v>274</v>
      </c>
    </row>
    <row r="45" spans="1:30" ht="9.75" customHeight="1">
      <c r="A45" s="632"/>
      <c r="J45" s="624" t="s">
        <v>275</v>
      </c>
      <c r="Z45" s="15" t="s">
        <v>276</v>
      </c>
    </row>
    <row r="46" spans="1:30" ht="9.75" customHeight="1">
      <c r="A46" s="632"/>
      <c r="J46" s="624" t="s">
        <v>277</v>
      </c>
    </row>
    <row r="47" spans="1:30" ht="9.75" customHeight="1">
      <c r="A47" s="632"/>
      <c r="J47" s="624" t="s">
        <v>278</v>
      </c>
    </row>
    <row r="48" spans="1:30" ht="9.75" customHeight="1">
      <c r="A48" s="632"/>
      <c r="V48" s="621" t="s">
        <v>279</v>
      </c>
      <c r="Z48" s="621" t="s">
        <v>280</v>
      </c>
      <c r="AB48" s="621" t="s">
        <v>281</v>
      </c>
    </row>
    <row r="49" spans="1:28" ht="9.75" customHeight="1">
      <c r="A49" s="632"/>
      <c r="V49" s="482" t="s">
        <v>282</v>
      </c>
      <c r="Z49" s="15" t="s">
        <v>242</v>
      </c>
      <c r="AB49" s="628" t="s">
        <v>283</v>
      </c>
    </row>
    <row r="50" spans="1:28" ht="9.75" customHeight="1">
      <c r="A50" s="632"/>
      <c r="J50" s="621" t="s">
        <v>284</v>
      </c>
      <c r="V50" s="482" t="s">
        <v>248</v>
      </c>
      <c r="Z50" s="15" t="s">
        <v>246</v>
      </c>
      <c r="AB50" s="628" t="s">
        <v>285</v>
      </c>
    </row>
    <row r="51" spans="1:28" ht="23.25" customHeight="1">
      <c r="A51" s="632"/>
      <c r="J51" s="236" t="s">
        <v>286</v>
      </c>
      <c r="Z51" s="15" t="s">
        <v>249</v>
      </c>
    </row>
    <row r="52" spans="1:28" ht="11.25" customHeight="1">
      <c r="A52" s="632"/>
      <c r="J52" s="236" t="s">
        <v>287</v>
      </c>
      <c r="Z52" s="15" t="s">
        <v>253</v>
      </c>
    </row>
    <row r="53" spans="1:28" ht="9.75" customHeight="1">
      <c r="A53" s="632"/>
      <c r="Z53" s="15" t="s">
        <v>258</v>
      </c>
    </row>
    <row r="54" spans="1:28" ht="9.75" customHeight="1">
      <c r="A54" s="632"/>
      <c r="Z54" s="15" t="s">
        <v>262</v>
      </c>
    </row>
    <row r="55" spans="1:28" ht="9.75" customHeight="1">
      <c r="A55" s="632"/>
      <c r="J55" s="621" t="s">
        <v>288</v>
      </c>
      <c r="Z55" s="15" t="s">
        <v>264</v>
      </c>
    </row>
    <row r="56" spans="1:28" ht="11.25" customHeight="1">
      <c r="A56" s="632"/>
      <c r="J56" s="236" t="s">
        <v>289</v>
      </c>
      <c r="Z56" s="15" t="s">
        <v>267</v>
      </c>
    </row>
    <row r="57" spans="1:28" ht="11.25" customHeight="1">
      <c r="A57" s="632"/>
      <c r="J57" s="236" t="s">
        <v>290</v>
      </c>
      <c r="Z57" s="15" t="s">
        <v>269</v>
      </c>
    </row>
    <row r="58" spans="1:28" ht="11.25" customHeight="1">
      <c r="A58" s="632"/>
      <c r="J58" s="236" t="s">
        <v>291</v>
      </c>
      <c r="Z58" s="15" t="s">
        <v>271</v>
      </c>
    </row>
    <row r="59" spans="1:28" ht="11.25" customHeight="1">
      <c r="A59" s="632"/>
      <c r="J59" s="236" t="s">
        <v>161</v>
      </c>
      <c r="Z59" s="15" t="s">
        <v>272</v>
      </c>
    </row>
    <row r="60" spans="1:28" ht="11.25" customHeight="1">
      <c r="A60" s="632"/>
      <c r="J60" s="236" t="s">
        <v>292</v>
      </c>
      <c r="Z60" s="15" t="s">
        <v>293</v>
      </c>
    </row>
    <row r="61" spans="1:28" ht="11.25" customHeight="1">
      <c r="A61" s="632"/>
      <c r="J61" s="236" t="s">
        <v>294</v>
      </c>
    </row>
    <row r="62" spans="1:28" ht="9.75" customHeight="1">
      <c r="A62" s="632"/>
      <c r="V62" s="621" t="s">
        <v>295</v>
      </c>
      <c r="Z62" s="621" t="s">
        <v>296</v>
      </c>
    </row>
    <row r="63" spans="1:28" ht="9.75" customHeight="1">
      <c r="A63" s="632"/>
      <c r="V63" s="628" t="s">
        <v>297</v>
      </c>
      <c r="Z63" s="15" t="s">
        <v>298</v>
      </c>
    </row>
    <row r="64" spans="1:28" ht="9.75" customHeight="1">
      <c r="A64" s="632"/>
      <c r="V64" s="628" t="s">
        <v>299</v>
      </c>
      <c r="Z64" s="15" t="s">
        <v>300</v>
      </c>
    </row>
    <row r="65" spans="1:26" ht="9.75" customHeight="1">
      <c r="A65" s="632"/>
      <c r="V65" s="628" t="s">
        <v>301</v>
      </c>
      <c r="Z65" s="15" t="s">
        <v>302</v>
      </c>
    </row>
    <row r="66" spans="1:26" ht="9.75" customHeight="1">
      <c r="A66" s="632"/>
      <c r="V66" s="628" t="s">
        <v>303</v>
      </c>
      <c r="Z66" s="15" t="s">
        <v>304</v>
      </c>
    </row>
    <row r="67" spans="1:26" ht="9.75" customHeight="1">
      <c r="A67" s="632"/>
      <c r="V67" s="628" t="s">
        <v>305</v>
      </c>
      <c r="Z67" s="15" t="s">
        <v>306</v>
      </c>
    </row>
    <row r="68" spans="1:26" ht="9.75" customHeight="1">
      <c r="A68" s="632"/>
      <c r="Z68" s="15" t="s">
        <v>307</v>
      </c>
    </row>
    <row r="69" spans="1:26" ht="9.75" customHeight="1">
      <c r="A69" s="632"/>
      <c r="Z69" s="15" t="s">
        <v>308</v>
      </c>
    </row>
    <row r="70" spans="1:26" ht="9.75" customHeight="1">
      <c r="A70" s="632"/>
      <c r="Z70" s="15" t="s">
        <v>309</v>
      </c>
    </row>
    <row r="71" spans="1:26" ht="9.75" customHeight="1">
      <c r="A71" s="632"/>
      <c r="Z71" s="15" t="s">
        <v>310</v>
      </c>
    </row>
    <row r="72" spans="1:26" ht="9.75" customHeight="1">
      <c r="A72" s="632"/>
      <c r="Z72" s="15" t="s">
        <v>311</v>
      </c>
    </row>
    <row r="73" spans="1:26" ht="9.75" customHeight="1">
      <c r="A73" s="632"/>
    </row>
    <row r="74" spans="1:26" ht="9.75" customHeight="1">
      <c r="A74" s="632"/>
    </row>
    <row r="75" spans="1:26" ht="9.75" customHeight="1">
      <c r="A75" s="632"/>
      <c r="V75" s="621" t="s">
        <v>312</v>
      </c>
      <c r="X75" s="621" t="s">
        <v>313</v>
      </c>
    </row>
    <row r="76" spans="1:26" ht="9.75" customHeight="1">
      <c r="A76" s="632"/>
      <c r="V76" s="628" t="s">
        <v>314</v>
      </c>
      <c r="X76" s="15" t="s">
        <v>315</v>
      </c>
    </row>
    <row r="77" spans="1:26" ht="9.75" customHeight="1">
      <c r="A77" s="632"/>
      <c r="V77" s="628" t="s">
        <v>316</v>
      </c>
      <c r="X77" s="15" t="s">
        <v>317</v>
      </c>
    </row>
    <row r="78" spans="1:26" ht="12" customHeight="1">
      <c r="A78" s="632"/>
      <c r="X78" s="15" t="s">
        <v>318</v>
      </c>
    </row>
    <row r="79" spans="1:26" ht="9.75" customHeight="1">
      <c r="A79" s="632"/>
    </row>
    <row r="80" spans="1:26" ht="9.75" customHeight="1">
      <c r="A80" s="632"/>
    </row>
    <row r="81" spans="1:1" ht="9.75" customHeight="1">
      <c r="A81" s="632"/>
    </row>
    <row r="82" spans="1:1" ht="12" customHeight="1">
      <c r="A82" s="632"/>
    </row>
    <row r="83" spans="1:1" ht="9.75" customHeight="1">
      <c r="A83" s="632"/>
    </row>
    <row r="84" spans="1:1" ht="9.75" customHeight="1">
      <c r="A84" s="632"/>
    </row>
    <row r="85" spans="1:1" ht="9.75" customHeight="1">
      <c r="A85" s="632"/>
    </row>
    <row r="86" spans="1:1" ht="9.75" customHeight="1">
      <c r="A86" s="632"/>
    </row>
    <row r="87" spans="1:1" ht="9.75" customHeight="1">
      <c r="A87" s="632"/>
    </row>
    <row r="88" spans="1:1" ht="9.75" customHeight="1">
      <c r="A88" s="632"/>
    </row>
    <row r="89" spans="1:1" ht="9.75" customHeight="1">
      <c r="A89" s="632"/>
    </row>
    <row r="90" spans="1:1" ht="9.75" customHeight="1"/>
    <row r="91" spans="1:1" ht="9.75" customHeight="1"/>
    <row r="92" spans="1:1" ht="9.75" customHeight="1"/>
    <row r="93" spans="1:1" ht="9.75" customHeight="1"/>
    <row r="94" spans="1:1" ht="9.75" customHeight="1"/>
    <row r="95" spans="1:1" ht="9.75" customHeight="1"/>
    <row r="96" spans="1:1"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2" customHeight="1"/>
    <row r="143" ht="12" customHeight="1"/>
  </sheetData>
  <sheetProtection formatColumns="0" formatRows="0" insertRows="0" deleteColumns="0" deleteRows="0" sort="0" autoFilter="0"/>
  <mergeCells count="2">
    <mergeCell ref="D20:H20"/>
    <mergeCell ref="D25:H25"/>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1:AT93"/>
  <sheetViews>
    <sheetView showGridLines="0" topLeftCell="AA20" workbookViewId="0">
      <selection activeCell="AA20" sqref="AA20"/>
    </sheetView>
  </sheetViews>
  <sheetFormatPr defaultColWidth="9.140625" defaultRowHeight="15" customHeight="1"/>
  <cols>
    <col min="1" max="1" width="9.140625" hidden="1"/>
    <col min="2" max="2" width="5.42578125" hidden="1" customWidth="1"/>
    <col min="3" max="3" width="9.140625" hidden="1"/>
    <col min="4" max="4" width="2.42578125" hidden="1" customWidth="1"/>
    <col min="5" max="5" width="9.140625" hidden="1"/>
    <col min="6" max="6" width="11.42578125" hidden="1" customWidth="1"/>
    <col min="7" max="7" width="30.85546875" hidden="1" customWidth="1"/>
    <col min="8" max="8" width="3.42578125" hidden="1" customWidth="1"/>
    <col min="9" max="26" width="9.140625" hidden="1"/>
    <col min="27" max="27" width="6.85546875" customWidth="1"/>
    <col min="28" max="28" width="38.28515625" customWidth="1"/>
    <col min="29" max="29" width="65.7109375" customWidth="1"/>
    <col min="30" max="30" width="0.7109375" hidden="1" customWidth="1"/>
    <col min="31" max="31" width="25.140625" hidden="1" customWidth="1"/>
    <col min="32" max="32" width="14.85546875" hidden="1" customWidth="1"/>
    <col min="33" max="33" width="53" hidden="1" customWidth="1"/>
    <col min="34" max="34" width="44.140625" hidden="1" customWidth="1"/>
    <col min="35" max="35" width="0.140625" hidden="1" customWidth="1"/>
    <col min="36" max="40" width="1.85546875" hidden="1" customWidth="1"/>
    <col min="41" max="46" width="9.140625" hidden="1"/>
  </cols>
  <sheetData>
    <row r="1" spans="4:46" ht="15" hidden="1" customHeight="1"/>
    <row r="2" spans="4:46" ht="15" hidden="1" customHeight="1">
      <c r="AA2" s="1" t="b">
        <f>TRUE</f>
        <v>1</v>
      </c>
    </row>
    <row r="3" spans="4:46" ht="15" hidden="1" customHeight="1"/>
    <row r="4" spans="4:46" ht="15" hidden="1" customHeight="1">
      <c r="E4" s="1">
        <v>64</v>
      </c>
      <c r="F4" s="2">
        <v>80</v>
      </c>
      <c r="G4" s="2">
        <v>216</v>
      </c>
      <c r="H4" s="2">
        <v>24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268</v>
      </c>
      <c r="AC4" s="1">
        <v>460</v>
      </c>
      <c r="AD4" s="1">
        <v>0</v>
      </c>
      <c r="AE4" s="1">
        <v>0</v>
      </c>
      <c r="AF4" s="1">
        <v>0</v>
      </c>
      <c r="AG4" s="1">
        <v>0</v>
      </c>
      <c r="AH4" s="1">
        <v>0</v>
      </c>
      <c r="AI4" s="1">
        <v>0</v>
      </c>
      <c r="AJ4" s="1">
        <v>0</v>
      </c>
      <c r="AK4" s="1">
        <v>0</v>
      </c>
      <c r="AL4" s="1">
        <v>0</v>
      </c>
      <c r="AM4" s="1">
        <v>0</v>
      </c>
      <c r="AN4" s="1">
        <v>0</v>
      </c>
      <c r="AO4" s="1">
        <v>0</v>
      </c>
      <c r="AP4" s="1">
        <v>0</v>
      </c>
      <c r="AQ4" s="1">
        <v>0</v>
      </c>
      <c r="AR4" s="1">
        <v>0</v>
      </c>
      <c r="AS4" s="1">
        <v>0</v>
      </c>
      <c r="AT4" s="2">
        <v>0</v>
      </c>
    </row>
    <row r="5" spans="4:46" ht="30" hidden="1" customHeight="1">
      <c r="D5" s="1">
        <v>40</v>
      </c>
      <c r="E5" s="1" t="s">
        <v>319</v>
      </c>
      <c r="F5" s="15" t="s">
        <v>320</v>
      </c>
      <c r="G5" s="15" t="s">
        <v>321</v>
      </c>
      <c r="H5" s="15" t="s">
        <v>322</v>
      </c>
    </row>
    <row r="6" spans="4:46" ht="30" hidden="1" customHeight="1">
      <c r="D6" s="1">
        <v>40</v>
      </c>
    </row>
    <row r="7" spans="4:46" ht="30" hidden="1" customHeight="1">
      <c r="D7" s="1">
        <v>40</v>
      </c>
    </row>
    <row r="8" spans="4:46" ht="30" hidden="1" customHeight="1">
      <c r="D8" s="1">
        <v>40</v>
      </c>
    </row>
    <row r="9" spans="4:46" ht="30" hidden="1" customHeight="1">
      <c r="D9" s="1">
        <v>40</v>
      </c>
    </row>
    <row r="10" spans="4:46" ht="30" hidden="1" customHeight="1">
      <c r="D10" s="1">
        <v>40</v>
      </c>
    </row>
    <row r="11" spans="4:46" ht="30" hidden="1" customHeight="1">
      <c r="D11" s="1">
        <v>40</v>
      </c>
    </row>
    <row r="12" spans="4:46" ht="30" hidden="1" customHeight="1">
      <c r="D12" s="1">
        <v>40</v>
      </c>
    </row>
    <row r="13" spans="4:46" ht="30" hidden="1" customHeight="1">
      <c r="D13" s="1">
        <v>40</v>
      </c>
    </row>
    <row r="14" spans="4:46" ht="30" hidden="1" customHeight="1">
      <c r="D14" s="1">
        <v>40</v>
      </c>
    </row>
    <row r="15" spans="4:46" ht="30" hidden="1" customHeight="1">
      <c r="D15" s="1">
        <v>40</v>
      </c>
    </row>
    <row r="16" spans="4:46" ht="30" hidden="1" customHeight="1">
      <c r="D16" s="1">
        <v>40</v>
      </c>
    </row>
    <row r="17" spans="4:45" ht="30" hidden="1" customHeight="1">
      <c r="D17" s="1">
        <v>40</v>
      </c>
    </row>
    <row r="18" spans="4:45" ht="30" hidden="1" customHeight="1">
      <c r="D18" s="1">
        <v>40</v>
      </c>
    </row>
    <row r="19" spans="4:45" ht="30" hidden="1" customHeight="1">
      <c r="D19" s="1">
        <v>40</v>
      </c>
    </row>
    <row r="20" spans="4:45" ht="18" customHeight="1">
      <c r="D20" s="1">
        <v>24</v>
      </c>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4:45" ht="28.5" customHeight="1">
      <c r="D21" s="1">
        <v>38</v>
      </c>
      <c r="E21" s="16"/>
      <c r="F21" s="16"/>
      <c r="G21" s="16"/>
      <c r="H21" s="16"/>
      <c r="I21" s="16"/>
      <c r="J21" s="16"/>
      <c r="K21" s="16"/>
      <c r="L21" s="16"/>
      <c r="M21" s="16"/>
      <c r="N21" s="16"/>
      <c r="O21" s="16"/>
      <c r="P21" s="16"/>
      <c r="Q21" s="16"/>
      <c r="R21" s="16"/>
      <c r="S21" s="16"/>
      <c r="T21" s="16"/>
      <c r="U21" s="16"/>
      <c r="V21" s="16"/>
      <c r="W21" s="16"/>
      <c r="X21" s="16"/>
      <c r="Y21" s="16"/>
      <c r="Z21" s="16"/>
      <c r="AB21" s="785" t="s">
        <v>43</v>
      </c>
      <c r="AC21" s="785"/>
    </row>
    <row r="22" spans="4:45" ht="7.5" customHeight="1">
      <c r="D22" s="1">
        <v>10</v>
      </c>
      <c r="E22" s="16"/>
      <c r="F22" s="16"/>
      <c r="G22" s="16"/>
      <c r="H22" s="16"/>
      <c r="I22" s="16"/>
      <c r="J22" s="16"/>
      <c r="K22" s="16"/>
      <c r="L22" s="16"/>
      <c r="M22" s="16"/>
      <c r="N22" s="16"/>
      <c r="O22" s="16"/>
      <c r="P22" s="16"/>
      <c r="Q22" s="16"/>
      <c r="R22" s="16"/>
      <c r="S22" s="16"/>
      <c r="T22" s="16"/>
      <c r="U22" s="16"/>
      <c r="V22" s="16"/>
      <c r="W22" s="16"/>
      <c r="X22" s="16"/>
      <c r="Y22" s="16"/>
      <c r="Z22" s="16"/>
      <c r="AA22" s="16"/>
      <c r="AB22" s="16"/>
    </row>
    <row r="23" spans="4:45" ht="29.25" customHeight="1">
      <c r="D23" s="1">
        <v>39</v>
      </c>
      <c r="E23" s="16"/>
      <c r="F23" s="15" t="s">
        <v>323</v>
      </c>
      <c r="G23" s="15" t="s">
        <v>41</v>
      </c>
      <c r="H23" s="15" t="s">
        <v>324</v>
      </c>
      <c r="J23" s="16"/>
      <c r="K23" s="16"/>
      <c r="L23" s="16"/>
      <c r="M23" s="16"/>
      <c r="N23" s="16"/>
      <c r="O23" s="16"/>
      <c r="P23" s="16"/>
      <c r="Q23" s="16"/>
      <c r="R23" s="16"/>
      <c r="S23" s="16"/>
      <c r="T23" s="16"/>
      <c r="U23" s="16"/>
      <c r="V23" s="16"/>
      <c r="W23" s="16"/>
      <c r="X23" s="16"/>
      <c r="Y23" s="16"/>
      <c r="Z23" s="16"/>
      <c r="AA23" s="17"/>
      <c r="AB23" s="18" t="s">
        <v>41</v>
      </c>
      <c r="AC23" s="19" t="s">
        <v>29</v>
      </c>
    </row>
    <row r="24" spans="4:45" ht="3.75" customHeight="1">
      <c r="D24" s="1">
        <v>5</v>
      </c>
      <c r="E24" s="16"/>
      <c r="F24" s="20"/>
      <c r="J24" s="16"/>
      <c r="K24" s="16"/>
      <c r="L24" s="16"/>
      <c r="M24" s="16"/>
      <c r="N24" s="16"/>
      <c r="O24" s="16"/>
      <c r="P24" s="16"/>
      <c r="Q24" s="16"/>
      <c r="R24" s="16"/>
      <c r="S24" s="16"/>
      <c r="T24" s="16"/>
      <c r="U24" s="16"/>
      <c r="V24" s="16"/>
      <c r="W24" s="16"/>
      <c r="X24" s="16"/>
      <c r="Y24" s="16"/>
      <c r="Z24" s="16"/>
      <c r="AA24" s="17"/>
      <c r="AB24" s="18"/>
      <c r="AC24" s="18"/>
      <c r="AF24" s="18"/>
      <c r="AH24" s="18"/>
      <c r="AI24" s="18"/>
      <c r="AJ24" s="18"/>
      <c r="AK24" s="18"/>
      <c r="AL24" s="18"/>
      <c r="AM24" s="18"/>
      <c r="AN24" s="18"/>
      <c r="AO24" s="18"/>
      <c r="AP24" s="18"/>
      <c r="AQ24" s="18"/>
      <c r="AR24" s="18"/>
      <c r="AS24" s="18"/>
    </row>
    <row r="25" spans="4:45" ht="21" customHeight="1">
      <c r="D25" s="1">
        <v>28</v>
      </c>
      <c r="E25" s="16"/>
      <c r="F25" s="15" t="s">
        <v>325</v>
      </c>
      <c r="G25" s="15" t="s">
        <v>326</v>
      </c>
      <c r="H25" s="15" t="s">
        <v>324</v>
      </c>
      <c r="J25" s="16"/>
      <c r="K25" s="16"/>
      <c r="L25" s="16"/>
      <c r="M25" s="16"/>
      <c r="N25" s="16"/>
      <c r="O25" s="16"/>
      <c r="P25" s="16"/>
      <c r="Q25" s="16"/>
      <c r="R25" s="16"/>
      <c r="S25" s="16"/>
      <c r="T25" s="16"/>
      <c r="U25" s="16"/>
      <c r="V25" s="16"/>
      <c r="W25" s="16"/>
      <c r="X25" s="16"/>
      <c r="Y25" s="16"/>
      <c r="Z25" s="16"/>
      <c r="AA25" s="17"/>
      <c r="AB25" s="21" t="s">
        <v>326</v>
      </c>
      <c r="AC25" s="22" t="s">
        <v>327</v>
      </c>
      <c r="AF25" s="18"/>
      <c r="AH25" s="18"/>
      <c r="AI25" s="18"/>
      <c r="AJ25" s="18"/>
      <c r="AK25" s="18"/>
      <c r="AL25" s="18"/>
      <c r="AM25" s="18"/>
      <c r="AN25" s="18"/>
      <c r="AO25" s="18"/>
      <c r="AP25" s="18"/>
      <c r="AQ25" s="18"/>
      <c r="AR25" s="18"/>
      <c r="AS25" s="18"/>
    </row>
    <row r="26" spans="4:45" ht="3.75" customHeight="1">
      <c r="D26" s="1">
        <v>5</v>
      </c>
      <c r="AF26" s="18"/>
    </row>
    <row r="27" spans="4:45" ht="29.25" customHeight="1">
      <c r="D27" s="1">
        <v>39</v>
      </c>
      <c r="E27" s="16"/>
      <c r="F27" s="15" t="s">
        <v>328</v>
      </c>
      <c r="G27" s="15" t="s">
        <v>329</v>
      </c>
      <c r="H27" s="15" t="s">
        <v>324</v>
      </c>
      <c r="J27" s="16"/>
      <c r="K27" s="16"/>
      <c r="L27" s="16"/>
      <c r="M27" s="16"/>
      <c r="N27" s="16"/>
      <c r="O27" s="16"/>
      <c r="P27" s="16"/>
      <c r="Q27" s="16"/>
      <c r="R27" s="16"/>
      <c r="S27" s="16"/>
      <c r="T27" s="16"/>
      <c r="U27" s="16"/>
      <c r="V27" s="16"/>
      <c r="W27" s="16"/>
      <c r="X27" s="16"/>
      <c r="Y27" s="16"/>
      <c r="Z27" s="16"/>
      <c r="AA27" s="17"/>
      <c r="AB27" s="21" t="s">
        <v>329</v>
      </c>
      <c r="AC27" s="23" t="s">
        <v>330</v>
      </c>
      <c r="AF27" s="18"/>
    </row>
    <row r="28" spans="4:45" ht="15" hidden="1" customHeight="1">
      <c r="D28" s="1">
        <v>0</v>
      </c>
      <c r="E28" s="16"/>
      <c r="J28" s="16"/>
      <c r="K28" s="16"/>
      <c r="L28" s="16"/>
      <c r="M28" s="16"/>
      <c r="N28" s="16"/>
      <c r="O28" s="16"/>
      <c r="P28" s="16"/>
      <c r="Q28" s="16"/>
      <c r="R28" s="16"/>
      <c r="S28" s="16"/>
      <c r="T28" s="16"/>
      <c r="U28" s="16"/>
      <c r="V28" s="16"/>
      <c r="W28" s="16"/>
      <c r="X28" s="16"/>
      <c r="Y28" s="16"/>
      <c r="Z28" s="16"/>
      <c r="AA28" s="17"/>
      <c r="AF28" s="18"/>
    </row>
    <row r="29" spans="4:45" ht="29.25" customHeight="1">
      <c r="D29" s="1">
        <v>39</v>
      </c>
      <c r="E29" s="16"/>
      <c r="F29" s="15" t="s">
        <v>331</v>
      </c>
      <c r="G29" s="15" t="s">
        <v>332</v>
      </c>
      <c r="H29" s="15" t="s">
        <v>324</v>
      </c>
      <c r="J29" s="16"/>
      <c r="K29" s="16"/>
      <c r="L29" s="16"/>
      <c r="M29" s="16"/>
      <c r="N29" s="16"/>
      <c r="O29" s="16"/>
      <c r="P29" s="16"/>
      <c r="Q29" s="16"/>
      <c r="R29" s="16"/>
      <c r="S29" s="16"/>
      <c r="T29" s="16"/>
      <c r="U29" s="16"/>
      <c r="V29" s="16"/>
      <c r="W29" s="16"/>
      <c r="X29" s="16"/>
      <c r="Y29" s="16"/>
      <c r="Z29" s="16"/>
      <c r="AA29" s="17"/>
      <c r="AB29" s="21" t="s">
        <v>332</v>
      </c>
      <c r="AC29" s="23" t="s">
        <v>333</v>
      </c>
      <c r="AF29" s="18"/>
    </row>
    <row r="30" spans="4:45" ht="21" customHeight="1">
      <c r="D30" s="1">
        <v>4</v>
      </c>
      <c r="E30" s="16"/>
      <c r="F30" s="15" t="s">
        <v>334</v>
      </c>
      <c r="G30" s="15" t="s">
        <v>335</v>
      </c>
      <c r="H30" s="15" t="s">
        <v>324</v>
      </c>
      <c r="J30" s="16"/>
      <c r="K30" s="16"/>
      <c r="L30" s="16"/>
      <c r="M30" s="16"/>
      <c r="N30" s="16"/>
      <c r="O30" s="16"/>
      <c r="P30" s="16"/>
      <c r="Q30" s="16"/>
      <c r="R30" s="16"/>
      <c r="S30" s="16"/>
      <c r="T30" s="16"/>
      <c r="U30" s="16"/>
      <c r="V30" s="16"/>
      <c r="W30" s="16"/>
      <c r="X30" s="16"/>
      <c r="Y30" s="16"/>
      <c r="Z30" s="16"/>
      <c r="AA30" s="17"/>
      <c r="AB30" s="24" t="s">
        <v>335</v>
      </c>
      <c r="AC30" s="23" t="s">
        <v>211</v>
      </c>
      <c r="AF30" s="18"/>
    </row>
    <row r="31" spans="4:45" ht="29.25" customHeight="1">
      <c r="D31" s="1">
        <v>39</v>
      </c>
      <c r="E31" s="16"/>
      <c r="F31" s="15" t="s">
        <v>336</v>
      </c>
      <c r="G31" s="15" t="s">
        <v>337</v>
      </c>
      <c r="H31" s="15" t="s">
        <v>324</v>
      </c>
      <c r="J31" s="16"/>
      <c r="K31" s="16"/>
      <c r="L31" s="16"/>
      <c r="M31" s="16"/>
      <c r="N31" s="16"/>
      <c r="O31" s="16"/>
      <c r="P31" s="16"/>
      <c r="Q31" s="16"/>
      <c r="R31" s="16"/>
      <c r="S31" s="16"/>
      <c r="T31" s="16"/>
      <c r="U31" s="16"/>
      <c r="V31" s="16"/>
      <c r="W31" s="16"/>
      <c r="X31" s="16"/>
      <c r="Y31" s="16"/>
      <c r="Z31" s="16"/>
      <c r="AA31" s="17"/>
      <c r="AB31" s="21" t="s">
        <v>337</v>
      </c>
      <c r="AC31" s="23" t="s">
        <v>338</v>
      </c>
      <c r="AF31" s="18"/>
    </row>
    <row r="32" spans="4:45" ht="29.25" customHeight="1">
      <c r="D32" s="1">
        <v>39</v>
      </c>
      <c r="E32" s="16"/>
      <c r="F32" s="15" t="s">
        <v>339</v>
      </c>
      <c r="G32" s="15" t="s">
        <v>340</v>
      </c>
      <c r="H32" s="15" t="s">
        <v>324</v>
      </c>
      <c r="J32" s="16"/>
      <c r="K32" s="16"/>
      <c r="L32" s="16"/>
      <c r="M32" s="16"/>
      <c r="N32" s="16"/>
      <c r="O32" s="16"/>
      <c r="P32" s="16"/>
      <c r="Q32" s="16"/>
      <c r="R32" s="16"/>
      <c r="S32" s="16"/>
      <c r="T32" s="16"/>
      <c r="U32" s="16"/>
      <c r="V32" s="16"/>
      <c r="W32" s="16"/>
      <c r="X32" s="16"/>
      <c r="Y32" s="16"/>
      <c r="Z32" s="16"/>
      <c r="AA32" s="17"/>
      <c r="AB32" s="21" t="s">
        <v>340</v>
      </c>
      <c r="AC32" s="23" t="s">
        <v>341</v>
      </c>
    </row>
    <row r="33" spans="2:32" ht="3.75" customHeight="1">
      <c r="D33" s="1">
        <v>5</v>
      </c>
      <c r="AF33" s="18"/>
    </row>
    <row r="34" spans="2:32" ht="33" customHeight="1">
      <c r="D34" s="1">
        <v>44</v>
      </c>
      <c r="F34" s="15" t="s">
        <v>342</v>
      </c>
      <c r="G34" s="15" t="s">
        <v>343</v>
      </c>
      <c r="H34" s="15" t="s">
        <v>324</v>
      </c>
      <c r="AB34" s="25" t="s">
        <v>343</v>
      </c>
      <c r="AC34" s="26">
        <v>2026</v>
      </c>
      <c r="AF34" s="18"/>
    </row>
    <row r="35" spans="2:32" ht="3.75" customHeight="1">
      <c r="D35" s="1">
        <v>5</v>
      </c>
    </row>
    <row r="36" spans="2:32" ht="29.25" customHeight="1">
      <c r="D36" s="1">
        <v>39</v>
      </c>
      <c r="AB36" s="25" t="s">
        <v>344</v>
      </c>
      <c r="AC36" s="27" t="s">
        <v>259</v>
      </c>
    </row>
    <row r="37" spans="2:32" ht="3.75" customHeight="1">
      <c r="D37" s="1">
        <v>5</v>
      </c>
    </row>
    <row r="38" spans="2:32" ht="30.75" customHeight="1">
      <c r="D38" s="1">
        <v>41</v>
      </c>
      <c r="F38" s="15" t="s">
        <v>345</v>
      </c>
      <c r="G38" s="15" t="s">
        <v>346</v>
      </c>
      <c r="H38" s="15" t="s">
        <v>324</v>
      </c>
      <c r="AB38" s="25" t="s">
        <v>346</v>
      </c>
      <c r="AC38" s="23" t="s">
        <v>286</v>
      </c>
    </row>
    <row r="39" spans="2:32" ht="3.75" customHeight="1">
      <c r="D39" s="1">
        <v>5</v>
      </c>
    </row>
    <row r="40" spans="2:32" ht="30" customHeight="1">
      <c r="B40" s="1" t="b">
        <f>OR(REGULATION_METHODS=TEHSHEET!J38,REGULATION_METHODS=TEHSHEET!J40)</f>
        <v>1</v>
      </c>
      <c r="D40" s="1">
        <v>39</v>
      </c>
      <c r="F40" s="15" t="s">
        <v>347</v>
      </c>
      <c r="G40" s="15" t="s">
        <v>348</v>
      </c>
      <c r="H40" s="15" t="s">
        <v>324</v>
      </c>
      <c r="AB40" s="25" t="s">
        <v>349</v>
      </c>
      <c r="AC40" s="26">
        <v>2026</v>
      </c>
    </row>
    <row r="41" spans="2:32" ht="39" customHeight="1">
      <c r="B41" s="1" t="b">
        <f>OR(REGULATION_METHODS=TEHSHEET!J38,REGULATION_METHODS=TEHSHEET!J40)</f>
        <v>1</v>
      </c>
      <c r="D41" s="1">
        <v>50</v>
      </c>
      <c r="F41" s="15" t="s">
        <v>350</v>
      </c>
      <c r="G41" s="15" t="s">
        <v>351</v>
      </c>
      <c r="H41" s="15" t="s">
        <v>324</v>
      </c>
      <c r="AB41" s="25" t="s">
        <v>351</v>
      </c>
      <c r="AC41" s="26">
        <v>2026</v>
      </c>
    </row>
    <row r="42" spans="2:32" ht="29.25" customHeight="1">
      <c r="B42" s="1" t="b">
        <f>OR(REGULATION_METHODS=TEHSHEET!J38,REGULATION_METHODS=TEHSHEET!J40)</f>
        <v>1</v>
      </c>
      <c r="D42" s="1">
        <v>39</v>
      </c>
      <c r="F42" s="15" t="s">
        <v>352</v>
      </c>
      <c r="G42" s="15" t="s">
        <v>353</v>
      </c>
      <c r="H42" s="15" t="s">
        <v>324</v>
      </c>
      <c r="AB42" s="25" t="s">
        <v>353</v>
      </c>
      <c r="AC42" s="28">
        <v>5</v>
      </c>
      <c r="AF42" s="18"/>
    </row>
    <row r="43" spans="2:32" ht="29.25" customHeight="1">
      <c r="B43" s="29" t="b">
        <f>OR(REGULATION_METHODS=TEHSHEET!J38,REGULATION_METHODS=TEHSHEET!J40)</f>
        <v>1</v>
      </c>
      <c r="D43" s="29">
        <v>39</v>
      </c>
      <c r="F43" s="15" t="s">
        <v>354</v>
      </c>
      <c r="G43" s="30" t="s">
        <v>355</v>
      </c>
      <c r="H43" s="30" t="s">
        <v>324</v>
      </c>
      <c r="AB43" s="25" t="s">
        <v>355</v>
      </c>
      <c r="AC43" s="27" t="s">
        <v>51</v>
      </c>
      <c r="AF43" s="18"/>
    </row>
    <row r="44" spans="2:32" ht="15" hidden="1" customHeight="1">
      <c r="D44" s="1">
        <v>0</v>
      </c>
      <c r="AF44" s="18"/>
    </row>
    <row r="45" spans="2:32" ht="15" hidden="1" customHeight="1">
      <c r="D45" s="1">
        <v>0</v>
      </c>
      <c r="AF45" s="18"/>
    </row>
    <row r="46" spans="2:32" ht="15" hidden="1" customHeight="1">
      <c r="D46" s="1">
        <v>0</v>
      </c>
      <c r="AF46" s="18"/>
    </row>
    <row r="47" spans="2:32" ht="30" customHeight="1">
      <c r="B47" s="1" t="b">
        <f>OR(REGULATION_METHODS=TEHSHEET!J38,REGULATION_METHODS=TEHSHEET!J40)</f>
        <v>1</v>
      </c>
      <c r="D47" s="1">
        <v>36</v>
      </c>
      <c r="F47" s="15" t="s">
        <v>356</v>
      </c>
      <c r="G47" s="15" t="s">
        <v>357</v>
      </c>
      <c r="H47" s="15" t="s">
        <v>324</v>
      </c>
      <c r="AB47" s="25" t="s">
        <v>357</v>
      </c>
      <c r="AC47" s="31" t="str">
        <f>IF(OR(FIRST_PERIOD_IN_LT=0,PERIOD_LENGTH=0),"",FIRST_PERIOD_IN_LT&amp;"-"&amp;FIRST_PERIOD_IN_LT+PERIOD_LENGTH-1)</f>
        <v>2026-2030</v>
      </c>
      <c r="AF47" s="18"/>
    </row>
    <row r="48" spans="2:32" ht="15" hidden="1" customHeight="1">
      <c r="D48" s="1">
        <v>0</v>
      </c>
      <c r="AF48" s="18"/>
    </row>
    <row r="49" spans="4:32" ht="15" hidden="1" customHeight="1">
      <c r="D49" s="1">
        <v>0</v>
      </c>
      <c r="AF49" s="18"/>
    </row>
    <row r="50" spans="4:32" ht="29.25" customHeight="1">
      <c r="D50" s="1">
        <v>39</v>
      </c>
      <c r="F50" s="15" t="s">
        <v>358</v>
      </c>
      <c r="G50" s="15" t="s">
        <v>359</v>
      </c>
      <c r="H50" s="15" t="s">
        <v>324</v>
      </c>
      <c r="AB50" s="25" t="s">
        <v>360</v>
      </c>
      <c r="AC50" s="27" t="s">
        <v>268</v>
      </c>
      <c r="AF50" s="18"/>
    </row>
    <row r="51" spans="4:32" ht="3.75" customHeight="1">
      <c r="D51" s="1">
        <v>5</v>
      </c>
      <c r="AF51" s="18"/>
    </row>
    <row r="52" spans="4:32" ht="15" hidden="1" customHeight="1">
      <c r="D52" s="1">
        <v>0</v>
      </c>
      <c r="AF52" s="18"/>
    </row>
    <row r="53" spans="4:32" ht="29.25" customHeight="1">
      <c r="D53" s="1">
        <v>39</v>
      </c>
      <c r="F53" s="15" t="s">
        <v>361</v>
      </c>
      <c r="G53" s="15" t="s">
        <v>362</v>
      </c>
      <c r="H53" s="15" t="s">
        <v>324</v>
      </c>
      <c r="AB53" s="25" t="s">
        <v>362</v>
      </c>
      <c r="AC53" s="23" t="s">
        <v>363</v>
      </c>
      <c r="AF53" s="18"/>
    </row>
    <row r="54" spans="4:32" ht="18" customHeight="1">
      <c r="D54" s="1">
        <v>4</v>
      </c>
      <c r="F54" s="15" t="s">
        <v>364</v>
      </c>
      <c r="G54" s="15" t="s">
        <v>365</v>
      </c>
      <c r="H54" s="15" t="s">
        <v>324</v>
      </c>
      <c r="AB54" s="24" t="s">
        <v>335</v>
      </c>
      <c r="AC54" s="23" t="s">
        <v>366</v>
      </c>
      <c r="AF54" s="18"/>
    </row>
    <row r="55" spans="4:32" ht="29.25" customHeight="1">
      <c r="D55" s="1">
        <v>39</v>
      </c>
      <c r="F55" s="15" t="s">
        <v>367</v>
      </c>
      <c r="G55" s="15" t="s">
        <v>368</v>
      </c>
      <c r="H55" s="15" t="s">
        <v>324</v>
      </c>
      <c r="AB55" s="21" t="s">
        <v>337</v>
      </c>
      <c r="AC55" s="23" t="s">
        <v>369</v>
      </c>
      <c r="AF55" s="18"/>
    </row>
    <row r="56" spans="4:32" ht="28.5" customHeight="1">
      <c r="D56" s="1">
        <v>38</v>
      </c>
      <c r="F56" s="15" t="s">
        <v>370</v>
      </c>
      <c r="G56" s="15" t="s">
        <v>371</v>
      </c>
      <c r="H56" s="15" t="s">
        <v>324</v>
      </c>
      <c r="AB56" s="21" t="s">
        <v>340</v>
      </c>
      <c r="AC56" s="23" t="s">
        <v>372</v>
      </c>
      <c r="AF56" s="18"/>
    </row>
    <row r="57" spans="4:32" ht="3.75" customHeight="1">
      <c r="D57" s="1">
        <v>5</v>
      </c>
      <c r="AF57" s="18"/>
    </row>
    <row r="58" spans="4:32" ht="29.25" customHeight="1">
      <c r="D58" s="1">
        <v>39</v>
      </c>
      <c r="F58" s="15" t="s">
        <v>373</v>
      </c>
      <c r="G58" s="15" t="s">
        <v>374</v>
      </c>
      <c r="H58" s="15" t="s">
        <v>324</v>
      </c>
      <c r="AB58" s="25" t="s">
        <v>374</v>
      </c>
      <c r="AC58" s="32">
        <f>17238+436</f>
        <v>17674</v>
      </c>
      <c r="AF58" s="18"/>
    </row>
    <row r="59" spans="4:32" ht="3.75" customHeight="1">
      <c r="D59" s="1">
        <v>5</v>
      </c>
      <c r="AF59" s="18"/>
    </row>
    <row r="60" spans="4:32" ht="15" hidden="1" customHeight="1">
      <c r="D60" s="1">
        <v>0</v>
      </c>
      <c r="AB60" s="33"/>
      <c r="AC60" s="34"/>
      <c r="AF60" s="18"/>
    </row>
    <row r="61" spans="4:32" ht="15" hidden="1" customHeight="1">
      <c r="D61" s="1">
        <v>0</v>
      </c>
    </row>
    <row r="62" spans="4:32" ht="58.5" customHeight="1">
      <c r="D62" s="1">
        <v>78</v>
      </c>
      <c r="F62" s="15" t="s">
        <v>375</v>
      </c>
      <c r="G62" s="15" t="s">
        <v>376</v>
      </c>
      <c r="H62" s="15" t="s">
        <v>324</v>
      </c>
      <c r="AB62" s="25" t="s">
        <v>377</v>
      </c>
      <c r="AC62" s="35" t="s">
        <v>378</v>
      </c>
    </row>
    <row r="63" spans="4:32" ht="3.75" customHeight="1">
      <c r="D63" s="1">
        <v>5</v>
      </c>
    </row>
    <row r="64" spans="4:32" ht="51" customHeight="1">
      <c r="D64" s="1">
        <v>68</v>
      </c>
      <c r="F64" s="15" t="s">
        <v>379</v>
      </c>
      <c r="G64" s="15" t="s">
        <v>380</v>
      </c>
      <c r="H64" s="15" t="s">
        <v>324</v>
      </c>
      <c r="AB64" s="25" t="s">
        <v>381</v>
      </c>
      <c r="AC64" s="35" t="s">
        <v>382</v>
      </c>
    </row>
    <row r="65" spans="4:29" ht="15" hidden="1" customHeight="1">
      <c r="D65" s="1">
        <v>0</v>
      </c>
    </row>
    <row r="66" spans="4:29" ht="15" hidden="1" customHeight="1">
      <c r="D66" s="1">
        <v>0</v>
      </c>
    </row>
    <row r="67" spans="4:29" ht="15" hidden="1" customHeight="1">
      <c r="D67" s="1">
        <v>0</v>
      </c>
      <c r="E67" s="16"/>
      <c r="J67" s="16"/>
      <c r="K67" s="16"/>
      <c r="L67" s="16"/>
      <c r="M67" s="16"/>
      <c r="N67" s="16"/>
      <c r="O67" s="16"/>
      <c r="P67" s="16"/>
      <c r="Q67" s="16"/>
      <c r="R67" s="16"/>
      <c r="S67" s="16"/>
      <c r="T67" s="16"/>
      <c r="U67" s="16"/>
      <c r="V67" s="16"/>
      <c r="W67" s="16"/>
      <c r="X67" s="16"/>
      <c r="Y67" s="16"/>
      <c r="Z67" s="16"/>
      <c r="AA67" s="17"/>
      <c r="AB67" s="18"/>
    </row>
    <row r="68" spans="4:29" ht="15" hidden="1" customHeight="1">
      <c r="D68" s="1">
        <v>0</v>
      </c>
      <c r="E68" s="16"/>
      <c r="J68" s="16"/>
      <c r="K68" s="16"/>
      <c r="L68" s="16"/>
      <c r="M68" s="16"/>
      <c r="N68" s="16"/>
      <c r="O68" s="16"/>
      <c r="P68" s="16"/>
      <c r="Q68" s="16"/>
      <c r="R68" s="16"/>
      <c r="S68" s="16"/>
      <c r="T68" s="16"/>
      <c r="U68" s="16"/>
      <c r="V68" s="16"/>
      <c r="W68" s="16"/>
      <c r="X68" s="16"/>
      <c r="Y68" s="16"/>
      <c r="Z68" s="16"/>
      <c r="AA68" s="17"/>
      <c r="AB68" s="36"/>
    </row>
    <row r="69" spans="4:29" ht="15" hidden="1" customHeight="1">
      <c r="D69" s="1">
        <v>0</v>
      </c>
      <c r="E69" s="16"/>
      <c r="J69" s="16"/>
      <c r="K69" s="16"/>
      <c r="L69" s="16"/>
      <c r="M69" s="16"/>
      <c r="N69" s="16"/>
      <c r="O69" s="16"/>
      <c r="P69" s="16"/>
      <c r="Q69" s="16"/>
      <c r="R69" s="16"/>
      <c r="S69" s="16"/>
      <c r="T69" s="16"/>
      <c r="U69" s="16"/>
      <c r="V69" s="16"/>
      <c r="W69" s="16"/>
      <c r="X69" s="16"/>
      <c r="Y69" s="16"/>
      <c r="Z69" s="16"/>
      <c r="AA69" s="17"/>
      <c r="AB69" s="18"/>
    </row>
    <row r="70" spans="4:29" ht="15" hidden="1" customHeight="1">
      <c r="D70" s="1">
        <v>0</v>
      </c>
      <c r="E70" s="16"/>
      <c r="J70" s="16"/>
      <c r="K70" s="16"/>
      <c r="L70" s="16"/>
      <c r="M70" s="16"/>
      <c r="N70" s="16"/>
      <c r="O70" s="16"/>
      <c r="P70" s="16"/>
      <c r="Q70" s="16"/>
      <c r="R70" s="16"/>
      <c r="S70" s="16"/>
      <c r="T70" s="16"/>
      <c r="U70" s="16"/>
      <c r="V70" s="16"/>
      <c r="W70" s="16"/>
      <c r="X70" s="16"/>
      <c r="Y70" s="16"/>
      <c r="Z70" s="16"/>
      <c r="AA70" s="17"/>
    </row>
    <row r="71" spans="4:29" ht="15" hidden="1" customHeight="1">
      <c r="D71" s="1">
        <v>0</v>
      </c>
      <c r="E71" s="16"/>
      <c r="J71" s="16"/>
      <c r="K71" s="16"/>
      <c r="L71" s="16"/>
      <c r="M71" s="16"/>
      <c r="N71" s="16"/>
      <c r="O71" s="16"/>
      <c r="P71" s="16"/>
      <c r="Q71" s="16"/>
      <c r="R71" s="16"/>
      <c r="S71" s="16"/>
      <c r="T71" s="16"/>
      <c r="U71" s="16"/>
      <c r="V71" s="16"/>
      <c r="W71" s="16"/>
      <c r="X71" s="16"/>
      <c r="Y71" s="16"/>
      <c r="Z71" s="16"/>
      <c r="AA71" s="17"/>
    </row>
    <row r="72" spans="4:29" ht="15" hidden="1" customHeight="1">
      <c r="D72" s="1">
        <v>0</v>
      </c>
      <c r="E72" s="16"/>
      <c r="J72" s="16"/>
      <c r="K72" s="16"/>
      <c r="L72" s="16"/>
      <c r="M72" s="16"/>
      <c r="N72" s="16"/>
      <c r="O72" s="16"/>
      <c r="P72" s="16"/>
      <c r="Q72" s="16"/>
      <c r="R72" s="16"/>
      <c r="S72" s="16"/>
      <c r="T72" s="16"/>
      <c r="U72" s="16"/>
      <c r="V72" s="16"/>
      <c r="W72" s="16"/>
      <c r="X72" s="16"/>
      <c r="Y72" s="16"/>
      <c r="Z72" s="16"/>
      <c r="AA72" s="17"/>
    </row>
    <row r="73" spans="4:29" ht="19.5" customHeight="1">
      <c r="D73" s="1">
        <v>26</v>
      </c>
      <c r="E73" s="16"/>
      <c r="J73" s="16"/>
      <c r="K73" s="16"/>
      <c r="L73" s="16"/>
      <c r="M73" s="16"/>
      <c r="N73" s="16"/>
      <c r="O73" s="16"/>
      <c r="P73" s="16"/>
      <c r="Q73" s="16"/>
      <c r="R73" s="16"/>
      <c r="S73" s="16"/>
      <c r="T73" s="16"/>
      <c r="U73" s="16"/>
      <c r="V73" s="16"/>
      <c r="W73" s="16"/>
      <c r="X73" s="16"/>
      <c r="Y73" s="16"/>
      <c r="Z73" s="16"/>
      <c r="AA73" s="17"/>
      <c r="AB73" s="33"/>
      <c r="AC73" s="34" t="s">
        <v>383</v>
      </c>
    </row>
    <row r="74" spans="4:29" ht="29.25" customHeight="1">
      <c r="D74" s="1">
        <v>39</v>
      </c>
      <c r="E74" s="16"/>
      <c r="F74" s="15" t="s">
        <v>384</v>
      </c>
      <c r="G74" s="15" t="s">
        <v>385</v>
      </c>
      <c r="H74" s="15" t="s">
        <v>324</v>
      </c>
      <c r="J74" s="16"/>
      <c r="K74" s="16"/>
      <c r="L74" s="16"/>
      <c r="M74" s="16"/>
      <c r="N74" s="16"/>
      <c r="O74" s="16"/>
      <c r="P74" s="16"/>
      <c r="Q74" s="16"/>
      <c r="R74" s="16"/>
      <c r="S74" s="16"/>
      <c r="T74" s="16"/>
      <c r="U74" s="16"/>
      <c r="V74" s="16"/>
      <c r="W74" s="16"/>
      <c r="X74" s="16"/>
      <c r="Y74" s="16"/>
      <c r="Z74" s="16"/>
      <c r="AA74" s="17"/>
      <c r="AB74" s="21" t="s">
        <v>385</v>
      </c>
      <c r="AC74" s="37" t="s">
        <v>386</v>
      </c>
    </row>
    <row r="75" spans="4:29" ht="29.25" customHeight="1">
      <c r="D75" s="1">
        <v>39</v>
      </c>
      <c r="E75" s="16"/>
      <c r="F75" s="15" t="s">
        <v>387</v>
      </c>
      <c r="G75" s="15" t="s">
        <v>388</v>
      </c>
      <c r="H75" s="15" t="s">
        <v>324</v>
      </c>
      <c r="J75" s="16"/>
      <c r="K75" s="16"/>
      <c r="L75" s="16"/>
      <c r="M75" s="16"/>
      <c r="N75" s="16"/>
      <c r="O75" s="16"/>
      <c r="P75" s="16"/>
      <c r="Q75" s="16"/>
      <c r="R75" s="16"/>
      <c r="S75" s="16"/>
      <c r="T75" s="16"/>
      <c r="U75" s="16"/>
      <c r="V75" s="16"/>
      <c r="W75" s="16"/>
      <c r="X75" s="16"/>
      <c r="Y75" s="16"/>
      <c r="Z75" s="16"/>
      <c r="AA75" s="17"/>
      <c r="AB75" s="21" t="s">
        <v>388</v>
      </c>
      <c r="AC75" s="37" t="s">
        <v>386</v>
      </c>
    </row>
    <row r="76" spans="4:29" ht="2.25" customHeight="1">
      <c r="D76" s="1">
        <v>3</v>
      </c>
      <c r="E76" s="16"/>
      <c r="J76" s="16"/>
      <c r="K76" s="16"/>
      <c r="L76" s="16"/>
      <c r="M76" s="16"/>
      <c r="N76" s="16"/>
      <c r="O76" s="16"/>
      <c r="P76" s="16"/>
      <c r="Q76" s="16"/>
      <c r="R76" s="16"/>
      <c r="S76" s="16"/>
      <c r="T76" s="16"/>
      <c r="U76" s="16"/>
      <c r="V76" s="16"/>
      <c r="W76" s="16"/>
      <c r="X76" s="16"/>
      <c r="Y76" s="16"/>
      <c r="Z76" s="16"/>
      <c r="AA76" s="17"/>
    </row>
    <row r="77" spans="4:29" ht="19.5" customHeight="1">
      <c r="D77" s="1">
        <v>26</v>
      </c>
      <c r="E77" s="16"/>
      <c r="J77" s="16"/>
      <c r="K77" s="16"/>
      <c r="L77" s="16"/>
      <c r="M77" s="16"/>
      <c r="N77" s="16"/>
      <c r="O77" s="16"/>
      <c r="P77" s="16"/>
      <c r="Q77" s="16"/>
      <c r="R77" s="16"/>
      <c r="S77" s="16"/>
      <c r="T77" s="16"/>
      <c r="U77" s="16"/>
      <c r="V77" s="16"/>
      <c r="W77" s="16"/>
      <c r="X77" s="16"/>
      <c r="Y77" s="16"/>
      <c r="Z77" s="16"/>
      <c r="AA77" s="17"/>
      <c r="AC77" s="36" t="s">
        <v>389</v>
      </c>
    </row>
    <row r="78" spans="4:29" ht="29.25" customHeight="1">
      <c r="D78" s="1">
        <v>39</v>
      </c>
      <c r="E78" s="16"/>
      <c r="F78" s="15" t="s">
        <v>390</v>
      </c>
      <c r="G78" s="15" t="s">
        <v>391</v>
      </c>
      <c r="H78" s="15" t="s">
        <v>324</v>
      </c>
      <c r="J78" s="16"/>
      <c r="K78" s="16"/>
      <c r="L78" s="16"/>
      <c r="M78" s="16"/>
      <c r="N78" s="16"/>
      <c r="O78" s="16"/>
      <c r="P78" s="16"/>
      <c r="Q78" s="16"/>
      <c r="R78" s="16"/>
      <c r="S78" s="16"/>
      <c r="T78" s="16"/>
      <c r="U78" s="16"/>
      <c r="V78" s="16"/>
      <c r="W78" s="16"/>
      <c r="X78" s="16"/>
      <c r="Y78" s="16"/>
      <c r="Z78" s="16"/>
      <c r="AA78" s="17"/>
      <c r="AB78" s="21" t="s">
        <v>392</v>
      </c>
      <c r="AC78" s="37" t="s">
        <v>393</v>
      </c>
    </row>
    <row r="79" spans="4:29" ht="29.25" customHeight="1">
      <c r="D79" s="1">
        <v>39</v>
      </c>
      <c r="E79" s="16"/>
      <c r="F79" s="15" t="s">
        <v>394</v>
      </c>
      <c r="G79" s="15" t="s">
        <v>395</v>
      </c>
      <c r="H79" s="15" t="s">
        <v>324</v>
      </c>
      <c r="J79" s="16"/>
      <c r="K79" s="16"/>
      <c r="L79" s="16"/>
      <c r="M79" s="16"/>
      <c r="N79" s="16"/>
      <c r="O79" s="16"/>
      <c r="P79" s="16"/>
      <c r="Q79" s="16"/>
      <c r="R79" s="16"/>
      <c r="S79" s="16"/>
      <c r="T79" s="16"/>
      <c r="U79" s="16"/>
      <c r="V79" s="16"/>
      <c r="W79" s="16"/>
      <c r="X79" s="16"/>
      <c r="Y79" s="16"/>
      <c r="Z79" s="16"/>
      <c r="AA79" s="17"/>
      <c r="AB79" s="21" t="s">
        <v>396</v>
      </c>
      <c r="AC79" s="37" t="s">
        <v>397</v>
      </c>
    </row>
    <row r="80" spans="4:29" ht="2.25" customHeight="1">
      <c r="D80" s="1">
        <v>3</v>
      </c>
      <c r="E80" s="16"/>
      <c r="J80" s="16"/>
      <c r="K80" s="16"/>
      <c r="L80" s="16"/>
      <c r="M80" s="16"/>
      <c r="N80" s="16"/>
      <c r="O80" s="16"/>
      <c r="P80" s="16"/>
      <c r="Q80" s="16"/>
      <c r="R80" s="16"/>
      <c r="S80" s="16"/>
      <c r="T80" s="16"/>
      <c r="U80" s="16"/>
      <c r="V80" s="16"/>
      <c r="W80" s="16"/>
      <c r="X80" s="16"/>
      <c r="Y80" s="16"/>
      <c r="Z80" s="16"/>
      <c r="AA80" s="17"/>
      <c r="AB80" s="21"/>
    </row>
    <row r="81" spans="4:46" ht="19.5" customHeight="1">
      <c r="D81" s="1">
        <v>26</v>
      </c>
      <c r="E81" s="16"/>
      <c r="J81" s="16"/>
      <c r="K81" s="16"/>
      <c r="L81" s="16"/>
      <c r="M81" s="16"/>
      <c r="N81" s="16"/>
      <c r="O81" s="16"/>
      <c r="P81" s="16"/>
      <c r="Q81" s="16"/>
      <c r="R81" s="16"/>
      <c r="S81" s="16"/>
      <c r="T81" s="16"/>
      <c r="U81" s="16"/>
      <c r="V81" s="16"/>
      <c r="W81" s="16"/>
      <c r="X81" s="16"/>
      <c r="Y81" s="16"/>
      <c r="Z81" s="16"/>
      <c r="AA81" s="17"/>
      <c r="AC81" s="36" t="s">
        <v>398</v>
      </c>
    </row>
    <row r="82" spans="4:46" ht="29.25" customHeight="1">
      <c r="D82" s="1">
        <v>39</v>
      </c>
      <c r="E82" s="16"/>
      <c r="F82" s="15" t="s">
        <v>399</v>
      </c>
      <c r="G82" s="15" t="s">
        <v>400</v>
      </c>
      <c r="H82" s="15" t="s">
        <v>324</v>
      </c>
      <c r="J82" s="16"/>
      <c r="K82" s="16"/>
      <c r="L82" s="16"/>
      <c r="M82" s="16"/>
      <c r="N82" s="16"/>
      <c r="O82" s="16"/>
      <c r="P82" s="16"/>
      <c r="Q82" s="16"/>
      <c r="R82" s="16"/>
      <c r="S82" s="16"/>
      <c r="T82" s="16"/>
      <c r="U82" s="16"/>
      <c r="V82" s="16"/>
      <c r="W82" s="16"/>
      <c r="X82" s="16"/>
      <c r="Y82" s="16"/>
      <c r="Z82" s="16"/>
      <c r="AA82" s="17"/>
      <c r="AB82" s="21" t="s">
        <v>392</v>
      </c>
      <c r="AC82" s="37" t="s">
        <v>401</v>
      </c>
    </row>
    <row r="83" spans="4:46" ht="29.25" customHeight="1">
      <c r="D83" s="1">
        <v>39</v>
      </c>
      <c r="E83" s="16"/>
      <c r="F83" s="15" t="s">
        <v>402</v>
      </c>
      <c r="G83" s="15" t="s">
        <v>403</v>
      </c>
      <c r="H83" s="15" t="s">
        <v>324</v>
      </c>
      <c r="J83" s="16"/>
      <c r="K83" s="16"/>
      <c r="L83" s="16"/>
      <c r="M83" s="16"/>
      <c r="N83" s="16"/>
      <c r="O83" s="16"/>
      <c r="P83" s="16"/>
      <c r="Q83" s="16"/>
      <c r="R83" s="16"/>
      <c r="S83" s="16"/>
      <c r="T83" s="16"/>
      <c r="U83" s="16"/>
      <c r="V83" s="16"/>
      <c r="W83" s="16"/>
      <c r="X83" s="16"/>
      <c r="Y83" s="16"/>
      <c r="Z83" s="16"/>
      <c r="AA83" s="17"/>
      <c r="AB83" s="21" t="s">
        <v>396</v>
      </c>
      <c r="AC83" s="37" t="s">
        <v>404</v>
      </c>
    </row>
    <row r="84" spans="4:46" ht="2.25" customHeight="1">
      <c r="D84" s="1">
        <v>3</v>
      </c>
      <c r="E84" s="16"/>
      <c r="J84" s="16"/>
      <c r="K84" s="16"/>
      <c r="L84" s="16"/>
      <c r="M84" s="16"/>
      <c r="N84" s="16"/>
      <c r="O84" s="16"/>
      <c r="P84" s="16"/>
      <c r="Q84" s="16"/>
      <c r="R84" s="16"/>
      <c r="S84" s="16"/>
      <c r="T84" s="16"/>
      <c r="U84" s="16"/>
      <c r="V84" s="16"/>
      <c r="W84" s="16"/>
      <c r="X84" s="16"/>
      <c r="Y84" s="16"/>
      <c r="Z84" s="16"/>
      <c r="AA84" s="17"/>
    </row>
    <row r="85" spans="4:46" ht="19.5" customHeight="1">
      <c r="D85" s="1">
        <v>26</v>
      </c>
      <c r="E85" s="16"/>
      <c r="J85" s="16"/>
      <c r="K85" s="16"/>
      <c r="L85" s="16"/>
      <c r="M85" s="16"/>
      <c r="N85" s="16"/>
      <c r="O85" s="16"/>
      <c r="P85" s="16"/>
      <c r="Q85" s="16"/>
      <c r="R85" s="16"/>
      <c r="S85" s="16"/>
      <c r="T85" s="16"/>
      <c r="U85" s="16"/>
      <c r="V85" s="16"/>
      <c r="W85" s="16"/>
      <c r="X85" s="16"/>
      <c r="Y85" s="16"/>
      <c r="Z85" s="16"/>
      <c r="AA85" s="16"/>
      <c r="AC85" s="36" t="s">
        <v>405</v>
      </c>
    </row>
    <row r="86" spans="4:46" ht="29.25" customHeight="1">
      <c r="D86" s="1">
        <v>39</v>
      </c>
      <c r="F86" s="15" t="s">
        <v>406</v>
      </c>
      <c r="G86" s="15" t="s">
        <v>407</v>
      </c>
      <c r="H86" s="15" t="s">
        <v>324</v>
      </c>
      <c r="AB86" s="21" t="s">
        <v>392</v>
      </c>
      <c r="AC86" s="37" t="s">
        <v>408</v>
      </c>
    </row>
    <row r="87" spans="4:46" ht="29.25" customHeight="1">
      <c r="D87" s="1">
        <v>39</v>
      </c>
      <c r="E87" s="16"/>
      <c r="F87" s="15" t="s">
        <v>409</v>
      </c>
      <c r="G87" s="15" t="s">
        <v>410</v>
      </c>
      <c r="H87" s="15" t="s">
        <v>324</v>
      </c>
      <c r="J87" s="16"/>
      <c r="K87" s="16"/>
      <c r="L87" s="16"/>
      <c r="M87" s="16"/>
      <c r="N87" s="16"/>
      <c r="O87" s="16"/>
      <c r="P87" s="16"/>
      <c r="Q87" s="16"/>
      <c r="R87" s="16"/>
      <c r="S87" s="16"/>
      <c r="T87" s="16"/>
      <c r="U87" s="16"/>
      <c r="V87" s="16"/>
      <c r="W87" s="16"/>
      <c r="X87" s="16"/>
      <c r="Y87" s="16"/>
      <c r="Z87" s="16"/>
      <c r="AA87" s="38"/>
      <c r="AB87" s="21" t="s">
        <v>411</v>
      </c>
      <c r="AC87" s="37" t="s">
        <v>412</v>
      </c>
    </row>
    <row r="88" spans="4:46" ht="29.25" customHeight="1">
      <c r="D88" s="1">
        <v>39</v>
      </c>
      <c r="F88" s="15" t="s">
        <v>413</v>
      </c>
      <c r="G88" s="15" t="s">
        <v>414</v>
      </c>
      <c r="H88" s="15" t="s">
        <v>324</v>
      </c>
      <c r="AB88" s="21" t="s">
        <v>415</v>
      </c>
      <c r="AC88" s="37" t="s">
        <v>404</v>
      </c>
    </row>
    <row r="89" spans="4:46" ht="29.25" customHeight="1">
      <c r="D89" s="1">
        <v>39</v>
      </c>
      <c r="F89" s="15" t="s">
        <v>416</v>
      </c>
      <c r="G89" s="15" t="s">
        <v>417</v>
      </c>
      <c r="H89" s="15" t="s">
        <v>324</v>
      </c>
      <c r="AB89" s="21" t="s">
        <v>418</v>
      </c>
      <c r="AC89" s="37" t="s">
        <v>419</v>
      </c>
    </row>
    <row r="90" spans="4:46" ht="6" customHeight="1">
      <c r="D90" s="1">
        <v>8</v>
      </c>
      <c r="F90" s="15" t="s">
        <v>420</v>
      </c>
      <c r="G90" s="15" t="s">
        <v>421</v>
      </c>
      <c r="H90" s="15" t="s">
        <v>324</v>
      </c>
    </row>
    <row r="91" spans="4:46" ht="22.5" customHeight="1">
      <c r="D91" s="1">
        <v>30</v>
      </c>
      <c r="F91" s="15" t="s">
        <v>422</v>
      </c>
      <c r="G91" s="15" t="s">
        <v>423</v>
      </c>
      <c r="H91" s="15" t="s">
        <v>324</v>
      </c>
      <c r="AB91" s="33"/>
      <c r="AC91" s="39"/>
    </row>
    <row r="92" spans="4:46" ht="6" customHeight="1">
      <c r="D92" s="1">
        <v>8</v>
      </c>
      <c r="F92" s="15" t="s">
        <v>424</v>
      </c>
      <c r="G92" s="15" t="s">
        <v>425</v>
      </c>
      <c r="H92" s="15" t="s">
        <v>324</v>
      </c>
    </row>
    <row r="93" spans="4:46" ht="15" hidden="1" customHeight="1">
      <c r="D93">
        <v>0</v>
      </c>
      <c r="AT93" t="s">
        <v>42</v>
      </c>
    </row>
  </sheetData>
  <sheetProtection password="FA9C" formatColumns="0" formatRows="0" insertRows="0" deleteColumns="0" deleteRows="0" sort="0" autoFilter="0"/>
  <mergeCells count="1">
    <mergeCell ref="AB21:AC21"/>
  </mergeCells>
  <dataValidations count="2">
    <dataValidation type="list" allowBlank="1" showInputMessage="1" showErrorMessage="1" errorTitle="Ошибка" error="Выберите значение из списка" sqref="AC41" xr:uid="{00000000-0002-0000-0400-000000000000}">
      <formula1>GOD_BAZUR_PERIODS</formula1>
    </dataValidation>
    <dataValidation type="list" allowBlank="1" showInputMessage="1" showErrorMessage="1" sqref="AC40" xr:uid="{00000000-0002-0000-0400-000001000000}">
      <formula1>POSSIBLE_PERIODS_7</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5"/>
  <sheetViews>
    <sheetView showGridLines="0" topLeftCell="AA20" workbookViewId="0">
      <selection activeCell="AA20" sqref="AA20"/>
    </sheetView>
  </sheetViews>
  <sheetFormatPr defaultColWidth="9.140625" defaultRowHeight="11.45" customHeight="1"/>
  <cols>
    <col min="1" max="1" width="9.140625" hidden="1"/>
    <col min="2" max="2" width="7" hidden="1" customWidth="1"/>
    <col min="3" max="3" width="9.140625" hidden="1"/>
    <col min="4" max="4" width="2.42578125" hidden="1" customWidth="1"/>
    <col min="5" max="26" width="4.42578125" hidden="1" customWidth="1"/>
    <col min="27" max="27" width="6.85546875" customWidth="1"/>
    <col min="28" max="28" width="13.140625" customWidth="1"/>
    <col min="29" max="29" width="74.85546875" customWidth="1"/>
    <col min="30" max="30" width="16" customWidth="1"/>
    <col min="31" max="31" width="21.42578125" customWidth="1"/>
    <col min="32" max="32" width="11" hidden="1" customWidth="1"/>
    <col min="33" max="33" width="10.42578125" hidden="1" customWidth="1"/>
    <col min="34" max="34" width="11" hidden="1" customWidth="1"/>
  </cols>
  <sheetData>
    <row r="1" spans="4:34" ht="11.25" hidden="1" customHeight="1">
      <c r="AB1" s="40" t="s">
        <v>426</v>
      </c>
      <c r="AC1" s="40" t="s">
        <v>427</v>
      </c>
      <c r="AD1" s="40" t="s">
        <v>428</v>
      </c>
      <c r="AE1" s="40" t="s">
        <v>429</v>
      </c>
      <c r="AF1" s="40" t="s">
        <v>430</v>
      </c>
    </row>
    <row r="2" spans="4:34" ht="11.25" hidden="1" customHeight="1">
      <c r="AA2" s="1" t="b">
        <f>TRUE</f>
        <v>1</v>
      </c>
      <c r="AG2" s="109" t="b">
        <f>FALSE</f>
        <v>0</v>
      </c>
    </row>
    <row r="3" spans="4:34" ht="11.25" hidden="1" customHeight="1"/>
    <row r="4" spans="4:34" ht="11.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92</v>
      </c>
      <c r="AC4" s="1">
        <v>524</v>
      </c>
      <c r="AD4" s="1">
        <v>112</v>
      </c>
      <c r="AE4" s="1">
        <v>150</v>
      </c>
      <c r="AF4" s="1">
        <v>0</v>
      </c>
      <c r="AG4" s="1">
        <v>78</v>
      </c>
      <c r="AH4" s="2">
        <v>0</v>
      </c>
    </row>
    <row r="5" spans="4:34" ht="11.25" hidden="1" customHeight="1">
      <c r="D5" s="1">
        <v>40</v>
      </c>
    </row>
    <row r="6" spans="4:34" ht="11.25" hidden="1" customHeight="1">
      <c r="D6" s="1">
        <v>40</v>
      </c>
    </row>
    <row r="7" spans="4:34" ht="11.25" hidden="1" customHeight="1">
      <c r="D7" s="1">
        <v>40</v>
      </c>
    </row>
    <row r="8" spans="4:34" ht="11.25" hidden="1" customHeight="1">
      <c r="D8" s="1">
        <v>40</v>
      </c>
    </row>
    <row r="9" spans="4:34" ht="11.25" hidden="1" customHeight="1">
      <c r="D9" s="1">
        <v>40</v>
      </c>
    </row>
    <row r="10" spans="4:34" ht="11.25" hidden="1" customHeight="1">
      <c r="D10" s="1">
        <v>40</v>
      </c>
    </row>
    <row r="11" spans="4:34" ht="11.25" hidden="1" customHeight="1">
      <c r="D11" s="1">
        <v>40</v>
      </c>
    </row>
    <row r="12" spans="4:34" ht="11.25" hidden="1" customHeight="1">
      <c r="D12" s="1">
        <v>40</v>
      </c>
    </row>
    <row r="13" spans="4:34" ht="11.25" hidden="1" customHeight="1">
      <c r="D13" s="1">
        <v>40</v>
      </c>
    </row>
    <row r="14" spans="4:34" ht="11.25" hidden="1" customHeight="1">
      <c r="D14" s="1">
        <v>40</v>
      </c>
    </row>
    <row r="15" spans="4:34" ht="11.25" hidden="1" customHeight="1">
      <c r="D15" s="1">
        <v>40</v>
      </c>
    </row>
    <row r="16" spans="4:34" ht="11.25" hidden="1" customHeight="1">
      <c r="D16" s="1">
        <v>40</v>
      </c>
    </row>
    <row r="17" spans="2:32" ht="11.25" hidden="1" customHeight="1">
      <c r="D17" s="1">
        <v>40</v>
      </c>
    </row>
    <row r="18" spans="2:32" ht="11.25" hidden="1" customHeight="1">
      <c r="D18" s="1">
        <v>40</v>
      </c>
    </row>
    <row r="19" spans="2:32" ht="11.25" hidden="1" customHeight="1">
      <c r="D19" s="1">
        <v>40</v>
      </c>
    </row>
    <row r="20" spans="2:32" ht="18" customHeight="1">
      <c r="B20" s="1" t="b">
        <f>TRUE</f>
        <v>1</v>
      </c>
      <c r="D20" s="1">
        <v>24</v>
      </c>
    </row>
    <row r="21" spans="2:32" ht="13.5" customHeight="1">
      <c r="D21" s="1">
        <v>18</v>
      </c>
      <c r="AB21" s="786" t="s">
        <v>431</v>
      </c>
      <c r="AC21" s="786"/>
      <c r="AD21" s="786"/>
      <c r="AE21" s="786"/>
    </row>
    <row r="22" spans="2:32" ht="12" customHeight="1">
      <c r="D22" s="1">
        <v>16</v>
      </c>
    </row>
    <row r="23" spans="2:32" ht="24.75" customHeight="1">
      <c r="B23" s="109" t="b">
        <f>TRUE</f>
        <v>1</v>
      </c>
      <c r="D23" s="1">
        <v>33</v>
      </c>
      <c r="AC23" s="614" t="s">
        <v>432</v>
      </c>
      <c r="AD23" s="615"/>
    </row>
    <row r="24" spans="2:32" ht="24.75" customHeight="1">
      <c r="B24" s="109" t="b">
        <f>TRUE</f>
        <v>1</v>
      </c>
      <c r="D24" s="1">
        <v>33</v>
      </c>
      <c r="AC24" s="614" t="s">
        <v>433</v>
      </c>
      <c r="AD24" s="615" t="s">
        <v>434</v>
      </c>
    </row>
    <row r="25" spans="2:32" ht="20.25" hidden="1" customHeight="1">
      <c r="B25" s="109" t="b">
        <f>FALSE</f>
        <v>0</v>
      </c>
      <c r="D25" s="1">
        <v>33</v>
      </c>
      <c r="AC25" s="614" t="s">
        <v>435</v>
      </c>
      <c r="AD25" s="615"/>
    </row>
    <row r="26" spans="2:32" ht="20.25" hidden="1" customHeight="1">
      <c r="B26" s="109" t="b">
        <f>REPORT_OWNER&lt;&gt;"Версия организации"</f>
        <v>0</v>
      </c>
      <c r="D26" s="1">
        <v>33</v>
      </c>
      <c r="AC26" s="614" t="s">
        <v>436</v>
      </c>
      <c r="AD26" s="615"/>
    </row>
    <row r="27" spans="2:32" ht="20.25" hidden="1" customHeight="1">
      <c r="B27" s="109" t="b">
        <f>REPORT_OWNER&lt;&gt;"Версия организации"</f>
        <v>0</v>
      </c>
      <c r="D27" s="1">
        <v>33</v>
      </c>
      <c r="AC27" s="614" t="s">
        <v>437</v>
      </c>
      <c r="AD27" s="615"/>
    </row>
    <row r="28" spans="2:32" ht="24.75" customHeight="1">
      <c r="B28" s="109" t="b">
        <f>TRUE</f>
        <v>1</v>
      </c>
      <c r="D28" s="1">
        <v>33</v>
      </c>
      <c r="AC28" s="614" t="s">
        <v>438</v>
      </c>
      <c r="AD28" s="615"/>
    </row>
    <row r="29" spans="2:32" ht="24.75" customHeight="1">
      <c r="B29" s="109" t="b">
        <f>Настройка!AC30=0</f>
        <v>1</v>
      </c>
      <c r="D29" s="1">
        <v>33</v>
      </c>
      <c r="AC29" s="614" t="s">
        <v>439</v>
      </c>
      <c r="AD29" s="615"/>
    </row>
    <row r="30" spans="2:32" ht="24.75" customHeight="1">
      <c r="B30" s="109" t="b">
        <f>TRUE</f>
        <v>1</v>
      </c>
      <c r="D30" s="1">
        <v>33</v>
      </c>
      <c r="AC30" s="614" t="s">
        <v>440</v>
      </c>
      <c r="AD30" s="615"/>
      <c r="AF30" s="1" t="b">
        <f>TRUE</f>
        <v>1</v>
      </c>
    </row>
    <row r="31" spans="2:32" ht="24.75" customHeight="1">
      <c r="B31" s="109" t="b">
        <f>IFERROR(AND(PRD-FIRST_PERIOD_IN_LT=0,REGULATION_METHODS="Метод долгосрочной индексации НВВ (1-ый год ДПР)"),FALSE)</f>
        <v>1</v>
      </c>
      <c r="D31" s="1">
        <v>33</v>
      </c>
      <c r="AC31" s="614" t="s">
        <v>441</v>
      </c>
      <c r="AD31" s="615"/>
    </row>
    <row r="32" spans="2:32" ht="24.75" customHeight="1">
      <c r="B32" s="109" t="b">
        <f>IFERROR(AND(PRD-FIRST_PERIOD_IN_LT=0,REGULATION_METHODS="Метод долгосрочной индексации НВВ (1-ый год ДПР)"),FALSE)</f>
        <v>1</v>
      </c>
      <c r="D32" s="1">
        <v>33</v>
      </c>
      <c r="AC32" s="614" t="s">
        <v>442</v>
      </c>
      <c r="AD32" s="615"/>
    </row>
    <row r="33" spans="2:32" ht="24.75" customHeight="1">
      <c r="B33" s="109" t="b">
        <f>IFERROR(AND(PRD-FIRST_PERIOD_IN_LT=0,REGULATION_METHODS="Метод долгосрочной индексации НВВ (1-ый год ДПР)"),TRUE)</f>
        <v>1</v>
      </c>
      <c r="D33" s="1">
        <v>33</v>
      </c>
      <c r="AC33" s="614" t="s">
        <v>443</v>
      </c>
      <c r="AD33" s="615"/>
    </row>
    <row r="34" spans="2:32" ht="20.25" hidden="1" customHeight="1">
      <c r="B34" s="109" t="b">
        <v>0</v>
      </c>
      <c r="D34" s="1">
        <v>33</v>
      </c>
      <c r="AC34" s="614" t="s">
        <v>444</v>
      </c>
      <c r="AD34" s="615"/>
    </row>
    <row r="35" spans="2:32" ht="24.75" customHeight="1">
      <c r="B35" s="109" t="b">
        <f>TRUE</f>
        <v>1</v>
      </c>
      <c r="D35" s="1">
        <v>33</v>
      </c>
      <c r="AC35" s="614" t="s">
        <v>445</v>
      </c>
      <c r="AD35" s="615"/>
      <c r="AF35" s="1" t="b">
        <f>TRUE</f>
        <v>1</v>
      </c>
    </row>
    <row r="36" spans="2:32" ht="24.75" customHeight="1">
      <c r="B36" s="109" t="b">
        <f>TRUE</f>
        <v>1</v>
      </c>
      <c r="D36" s="1">
        <v>33</v>
      </c>
      <c r="AC36" s="614" t="s">
        <v>446</v>
      </c>
      <c r="AD36" s="615"/>
      <c r="AF36" s="1" t="b">
        <f>TRUE</f>
        <v>1</v>
      </c>
    </row>
    <row r="37" spans="2:32" ht="24.75" customHeight="1">
      <c r="B37" s="109" t="b">
        <f>TRUE</f>
        <v>1</v>
      </c>
      <c r="D37" s="1">
        <v>33</v>
      </c>
      <c r="AC37" s="614" t="s">
        <v>447</v>
      </c>
      <c r="AD37" s="615"/>
    </row>
    <row r="38" spans="2:32" ht="24.75" customHeight="1">
      <c r="B38" s="109" t="b">
        <f>IFERROR(IF(Настройка!AC30=1,FALSE,OR(AND(PRD-FIRST_PERIOD_IN_LT=0,REGULATION_METHODS="Метод долгосрочной индексации НВВ (1-ый год ДПР)"),Титульный!AC43="Да")),FALSE)</f>
        <v>1</v>
      </c>
      <c r="D38" s="29">
        <v>33</v>
      </c>
      <c r="AC38" s="614" t="s">
        <v>448</v>
      </c>
      <c r="AD38" s="615"/>
    </row>
    <row r="39" spans="2:32" ht="24.75" customHeight="1">
      <c r="B39" s="109" t="b">
        <f>IFERROR(IF(Настройка!AC30=1,FALSE,AND(PRD-FIRST_PERIOD_IN_LT=0,REGULATION_METHODS="Метод долгосрочной индексации НВВ (1-ый год ДПР)")),FALSE)</f>
        <v>1</v>
      </c>
      <c r="D39" s="1">
        <v>33</v>
      </c>
      <c r="AC39" s="614" t="s">
        <v>449</v>
      </c>
      <c r="AD39" s="615"/>
    </row>
    <row r="40" spans="2:32" ht="24.75" customHeight="1">
      <c r="B40" s="109" t="b">
        <f>TRUE</f>
        <v>1</v>
      </c>
      <c r="D40" s="1">
        <v>33</v>
      </c>
      <c r="AC40" s="614" t="s">
        <v>450</v>
      </c>
      <c r="AD40" s="615"/>
      <c r="AF40" s="1" t="b">
        <f>TRUE</f>
        <v>1</v>
      </c>
    </row>
    <row r="41" spans="2:32" ht="24.75" customHeight="1">
      <c r="B41" s="109" t="b">
        <f>TRUE</f>
        <v>1</v>
      </c>
      <c r="D41" s="1">
        <v>33</v>
      </c>
      <c r="AC41" s="614" t="s">
        <v>451</v>
      </c>
      <c r="AD41" s="615"/>
      <c r="AF41" s="1" t="b">
        <f>TRUE</f>
        <v>1</v>
      </c>
    </row>
    <row r="42" spans="2:32" ht="24.75" customHeight="1">
      <c r="B42" s="109" t="b">
        <f>TRUE</f>
        <v>1</v>
      </c>
      <c r="D42" s="1">
        <v>33</v>
      </c>
      <c r="AC42" s="614" t="s">
        <v>452</v>
      </c>
      <c r="AD42" s="615"/>
      <c r="AF42" s="1" t="b">
        <f>TRUE</f>
        <v>1</v>
      </c>
    </row>
    <row r="43" spans="2:32" ht="24.75" customHeight="1">
      <c r="B43" s="109" t="b">
        <f>TRUE</f>
        <v>1</v>
      </c>
      <c r="D43" s="1">
        <v>33</v>
      </c>
      <c r="AC43" s="614" t="s">
        <v>453</v>
      </c>
      <c r="AD43" s="615"/>
    </row>
    <row r="44" spans="2:32" ht="24.75" customHeight="1">
      <c r="B44" s="109" t="b">
        <f>TRUE</f>
        <v>1</v>
      </c>
      <c r="D44" s="1">
        <v>33</v>
      </c>
      <c r="AC44" s="614" t="s">
        <v>454</v>
      </c>
      <c r="AD44" s="615"/>
      <c r="AF44" s="1" t="b">
        <f>TRUE</f>
        <v>1</v>
      </c>
    </row>
    <row r="45" spans="2:32" ht="24.75" customHeight="1">
      <c r="B45" s="109" t="b">
        <f>Настройка!AI30=0</f>
        <v>1</v>
      </c>
      <c r="D45" s="1">
        <v>33</v>
      </c>
      <c r="AC45" s="614" t="s">
        <v>455</v>
      </c>
      <c r="AD45" s="615"/>
      <c r="AF45" s="1" t="b">
        <f>TRUE</f>
        <v>1</v>
      </c>
    </row>
    <row r="46" spans="2:32" ht="20.25" hidden="1" customHeight="1">
      <c r="B46" s="109" t="b">
        <f>AND(REPORT_OWNER="Версия регулятора",REGION_NAME="Кемеровская область")</f>
        <v>0</v>
      </c>
      <c r="D46" s="1">
        <v>34</v>
      </c>
      <c r="AC46" s="614" t="s">
        <v>456</v>
      </c>
      <c r="AD46" s="615"/>
    </row>
    <row r="47" spans="2:32" ht="20.25" hidden="1" customHeight="1">
      <c r="B47" s="109" t="b">
        <f>AND(REPORT_OWNER="Версия регулятора",REGION_NAME="Челябинская область")</f>
        <v>0</v>
      </c>
      <c r="D47" s="1">
        <v>33</v>
      </c>
      <c r="AC47" s="614" t="s">
        <v>457</v>
      </c>
      <c r="AD47" s="615"/>
    </row>
    <row r="48" spans="2:32" ht="20.25" hidden="1" customHeight="1">
      <c r="B48" s="109" t="b">
        <f>AND(REPORT_OWNER="Версия регулятора",REGULATION_METHODS&lt;&gt;"Метод долгосрочной индексации НВВ (корректировка)")</f>
        <v>0</v>
      </c>
      <c r="D48" s="1">
        <v>33</v>
      </c>
      <c r="AC48" s="614" t="s">
        <v>458</v>
      </c>
      <c r="AD48" s="615"/>
    </row>
    <row r="49" spans="2:30" ht="20.25" hidden="1" customHeight="1">
      <c r="B49" s="109" t="b">
        <f>FALSE</f>
        <v>0</v>
      </c>
      <c r="D49" s="1">
        <v>34</v>
      </c>
      <c r="AC49" s="614" t="s">
        <v>459</v>
      </c>
      <c r="AD49" s="615"/>
    </row>
    <row r="50" spans="2:30" ht="20.25" hidden="1" customHeight="1">
      <c r="B50" s="109" t="b">
        <f>AND(REPORT_OWNER="Версия регулятора",REGULATION_METHODS="Метод долгосрочной индексации НВВ (корректировка)")</f>
        <v>0</v>
      </c>
      <c r="D50" s="1">
        <v>34</v>
      </c>
      <c r="AC50" s="614" t="s">
        <v>460</v>
      </c>
      <c r="AD50" s="615"/>
    </row>
    <row r="51" spans="2:30" ht="20.25" hidden="1" customHeight="1">
      <c r="B51" s="109" t="b">
        <f>FALSE</f>
        <v>0</v>
      </c>
      <c r="D51" s="1">
        <v>34</v>
      </c>
      <c r="AC51" s="614" t="s">
        <v>461</v>
      </c>
      <c r="AD51" s="615"/>
    </row>
    <row r="52" spans="2:30" ht="24.75" customHeight="1">
      <c r="B52" s="109" t="b">
        <f>REGULATION_METHODS&lt;&gt;"Метод экономически обоснованных расходов (затрат)"</f>
        <v>1</v>
      </c>
      <c r="D52" s="1">
        <v>33</v>
      </c>
      <c r="AC52" s="614" t="s">
        <v>462</v>
      </c>
      <c r="AD52" s="615"/>
    </row>
    <row r="53" spans="2:30" ht="24.75" customHeight="1">
      <c r="B53" s="109" t="b">
        <f>TRUE</f>
        <v>1</v>
      </c>
      <c r="D53" s="1">
        <v>33</v>
      </c>
      <c r="AC53" s="614" t="s">
        <v>463</v>
      </c>
      <c r="AD53" s="615"/>
    </row>
    <row r="54" spans="2:30" ht="24.75" customHeight="1">
      <c r="B54" s="109" t="b">
        <f>TRUE</f>
        <v>1</v>
      </c>
      <c r="D54" s="1">
        <v>33</v>
      </c>
      <c r="AC54" s="614" t="s">
        <v>464</v>
      </c>
      <c r="AD54" s="615"/>
    </row>
    <row r="55" spans="2:30" ht="24.75" customHeight="1">
      <c r="B55" s="109" t="b">
        <f>TRUE</f>
        <v>1</v>
      </c>
      <c r="D55" s="1">
        <v>33</v>
      </c>
      <c r="AC55" s="614" t="s">
        <v>465</v>
      </c>
      <c r="AD55" s="615"/>
    </row>
    <row r="56" spans="2:30" ht="24.75" customHeight="1">
      <c r="B56" s="109" t="b">
        <f>TRUE</f>
        <v>1</v>
      </c>
      <c r="D56" s="1">
        <v>33</v>
      </c>
      <c r="AC56" s="614" t="s">
        <v>466</v>
      </c>
      <c r="AD56" s="615"/>
    </row>
    <row r="57" spans="2:30" ht="24.75" customHeight="1">
      <c r="B57" s="109" t="b">
        <f>TRUE</f>
        <v>1</v>
      </c>
      <c r="D57" s="1">
        <v>33</v>
      </c>
      <c r="AC57" s="614" t="s">
        <v>467</v>
      </c>
      <c r="AD57" s="615"/>
    </row>
    <row r="58" spans="2:30" ht="24.75" customHeight="1">
      <c r="B58" s="109" t="b">
        <f>TRUE</f>
        <v>1</v>
      </c>
      <c r="D58" s="1">
        <v>33</v>
      </c>
      <c r="AC58" s="614" t="s">
        <v>468</v>
      </c>
      <c r="AD58" s="615"/>
    </row>
    <row r="59" spans="2:30" ht="24.75" customHeight="1">
      <c r="B59" s="109" t="b">
        <f>TRUE</f>
        <v>1</v>
      </c>
      <c r="D59" s="1">
        <v>33</v>
      </c>
      <c r="AC59" s="614" t="s">
        <v>469</v>
      </c>
      <c r="AD59" s="615"/>
    </row>
    <row r="60" spans="2:30" ht="24.75" customHeight="1">
      <c r="B60" s="109" t="b">
        <f>TRUE</f>
        <v>1</v>
      </c>
      <c r="D60" s="1">
        <v>33</v>
      </c>
      <c r="AC60" s="614" t="s">
        <v>470</v>
      </c>
      <c r="AD60" s="615"/>
    </row>
    <row r="61" spans="2:30" ht="24.75" customHeight="1">
      <c r="B61" s="109" t="b">
        <f>IFERROR(AND(PRD-FIRST_PERIOD_IN_LT=0,REGULATION_METHODS="Метод долгосрочной индексации НВВ (1-ый год ДПР)"),TRUE)</f>
        <v>1</v>
      </c>
      <c r="D61" s="1">
        <v>33</v>
      </c>
      <c r="AC61" s="614" t="s">
        <v>471</v>
      </c>
      <c r="AD61" s="615"/>
    </row>
    <row r="62" spans="2:30" ht="20.25" hidden="1" customHeight="1">
      <c r="B62" s="109" t="b">
        <f>FALSE</f>
        <v>0</v>
      </c>
      <c r="D62" s="1">
        <v>34</v>
      </c>
      <c r="AC62" s="614" t="s">
        <v>472</v>
      </c>
      <c r="AD62" s="615"/>
    </row>
    <row r="63" spans="2:30" ht="24.75" customHeight="1">
      <c r="B63" s="109" t="b">
        <f>TRUE</f>
        <v>1</v>
      </c>
      <c r="D63" s="1">
        <v>33</v>
      </c>
      <c r="AC63" s="614" t="s">
        <v>473</v>
      </c>
      <c r="AD63" s="615"/>
    </row>
    <row r="64" spans="2:30" ht="24.75" customHeight="1">
      <c r="B64" s="109" t="b">
        <f>TRUE</f>
        <v>1</v>
      </c>
      <c r="D64" s="1">
        <v>33</v>
      </c>
      <c r="AC64" s="614" t="s">
        <v>474</v>
      </c>
      <c r="AD64" s="615"/>
    </row>
    <row r="65" spans="2:30" ht="24.75" customHeight="1">
      <c r="B65" s="109" t="b">
        <f>TRUE</f>
        <v>1</v>
      </c>
      <c r="D65" s="1">
        <v>33</v>
      </c>
      <c r="AC65" s="614" t="s">
        <v>475</v>
      </c>
      <c r="AD65" s="615"/>
    </row>
    <row r="66" spans="2:30" ht="24.75" customHeight="1">
      <c r="B66" s="109" t="b">
        <f>TRUE</f>
        <v>1</v>
      </c>
      <c r="D66" s="1">
        <v>33</v>
      </c>
      <c r="AC66" s="614" t="s">
        <v>476</v>
      </c>
      <c r="AD66" s="615"/>
    </row>
    <row r="67" spans="2:30" ht="24.75" customHeight="1">
      <c r="B67" s="109" t="b">
        <f>TRUE</f>
        <v>1</v>
      </c>
      <c r="D67" s="1">
        <v>33</v>
      </c>
      <c r="AC67" s="614" t="s">
        <v>477</v>
      </c>
      <c r="AD67" s="615"/>
    </row>
    <row r="68" spans="2:30" ht="24.75" customHeight="1">
      <c r="B68" s="109" t="b">
        <f>TRUE</f>
        <v>1</v>
      </c>
      <c r="D68" s="1">
        <v>33</v>
      </c>
      <c r="AC68" s="614" t="s">
        <v>478</v>
      </c>
      <c r="AD68" s="615" t="s">
        <v>479</v>
      </c>
    </row>
    <row r="69" spans="2:30" ht="24.75" customHeight="1">
      <c r="B69" s="109" t="b">
        <f>TRUE</f>
        <v>1</v>
      </c>
      <c r="D69" s="1">
        <v>33</v>
      </c>
      <c r="AC69" s="614" t="s">
        <v>480</v>
      </c>
      <c r="AD69" s="615"/>
    </row>
    <row r="70" spans="2:30" ht="24.75" customHeight="1">
      <c r="B70" s="109" t="b">
        <f>TRUE</f>
        <v>1</v>
      </c>
      <c r="D70" s="1">
        <v>33</v>
      </c>
      <c r="AC70" s="614" t="s">
        <v>481</v>
      </c>
      <c r="AD70" s="615"/>
    </row>
    <row r="71" spans="2:30" ht="24.75" customHeight="1">
      <c r="B71" s="109" t="b">
        <f>TRUE</f>
        <v>1</v>
      </c>
      <c r="D71" s="1">
        <v>33</v>
      </c>
      <c r="AC71" s="614" t="s">
        <v>482</v>
      </c>
      <c r="AD71" s="615"/>
    </row>
    <row r="72" spans="2:30" ht="24.75" customHeight="1">
      <c r="B72" s="109" t="b">
        <f>TRUE</f>
        <v>1</v>
      </c>
      <c r="D72" s="1">
        <v>33</v>
      </c>
      <c r="AC72" s="614" t="s">
        <v>483</v>
      </c>
      <c r="AD72" s="615"/>
    </row>
    <row r="73" spans="2:30" ht="24.75" customHeight="1">
      <c r="B73" s="109" t="b">
        <f>TRUE</f>
        <v>1</v>
      </c>
      <c r="D73" s="1">
        <v>33</v>
      </c>
      <c r="AC73" s="614" t="s">
        <v>484</v>
      </c>
      <c r="AD73" s="615"/>
    </row>
    <row r="74" spans="2:30" ht="24.75" customHeight="1">
      <c r="B74" s="109" t="b">
        <f>TRUE</f>
        <v>1</v>
      </c>
      <c r="D74" s="1">
        <v>33</v>
      </c>
      <c r="AC74" s="614" t="s">
        <v>485</v>
      </c>
      <c r="AD74" s="615"/>
    </row>
    <row r="75" spans="2:30" ht="24.75" customHeight="1">
      <c r="B75" s="109" t="b">
        <f>AND(REGION_NAME&lt;&gt;"Челябинская область",REGION_NAME&lt;&gt;"Белгородская область",REGION_NAME&lt;&gt;"Ульяновская область")</f>
        <v>1</v>
      </c>
      <c r="D75" s="1">
        <v>33</v>
      </c>
      <c r="AC75" s="614" t="s">
        <v>486</v>
      </c>
      <c r="AD75" s="615"/>
    </row>
    <row r="76" spans="2:30" ht="24.75" customHeight="1">
      <c r="B76" s="109" t="b">
        <f>AND(REGION_NAME&lt;&gt;"Челябинская область",REGION_NAME&lt;&gt;"Белгородская область",REGION_NAME&lt;&gt;"Ульяновская область")</f>
        <v>1</v>
      </c>
      <c r="D76" s="1">
        <v>33</v>
      </c>
      <c r="AC76" s="614" t="s">
        <v>487</v>
      </c>
      <c r="AD76" s="615"/>
    </row>
    <row r="77" spans="2:30" ht="24.75" customHeight="1">
      <c r="B77" s="109" t="b">
        <f>SUMIF(REGION_TARIFF_LIST,REGION_NAME,REGION_TARIFF_LIST_FLAGS)&lt;&gt;1</f>
        <v>1</v>
      </c>
      <c r="D77" s="1">
        <v>33</v>
      </c>
      <c r="AC77" s="614" t="s">
        <v>488</v>
      </c>
      <c r="AD77" s="615"/>
    </row>
    <row r="78" spans="2:30" ht="20.25" hidden="1" customHeight="1">
      <c r="B78" s="109" t="b">
        <f>Настройка!AI30=1</f>
        <v>0</v>
      </c>
      <c r="D78" s="1">
        <v>34</v>
      </c>
      <c r="AC78" s="614" t="s">
        <v>489</v>
      </c>
      <c r="AD78" s="615"/>
    </row>
    <row r="79" spans="2:30" ht="20.25" hidden="1" customHeight="1">
      <c r="B79" s="109" t="b">
        <f>Настройка!AI30=1</f>
        <v>0</v>
      </c>
      <c r="D79" s="1">
        <v>34</v>
      </c>
      <c r="AC79" s="614" t="s">
        <v>490</v>
      </c>
      <c r="AD79" s="615"/>
    </row>
    <row r="80" spans="2:30" ht="24.75" customHeight="1">
      <c r="B80" s="109" t="b">
        <f>TRUE</f>
        <v>1</v>
      </c>
      <c r="D80" s="1">
        <v>33</v>
      </c>
      <c r="AC80" s="614" t="s">
        <v>491</v>
      </c>
      <c r="AD80" s="615"/>
    </row>
    <row r="81" spans="2:34" ht="24.75" customHeight="1">
      <c r="B81" s="109" t="b">
        <f>TRUE</f>
        <v>1</v>
      </c>
      <c r="D81" s="1">
        <v>33</v>
      </c>
      <c r="AC81" s="614" t="s">
        <v>492</v>
      </c>
      <c r="AD81" s="615"/>
    </row>
    <row r="82" spans="2:34" ht="24.75" customHeight="1">
      <c r="B82" s="109" t="b">
        <f>TRUE</f>
        <v>1</v>
      </c>
      <c r="D82" s="1">
        <v>33</v>
      </c>
      <c r="AC82" s="614" t="s">
        <v>493</v>
      </c>
      <c r="AD82" s="615"/>
    </row>
    <row r="83" spans="2:34" ht="20.25" hidden="1" customHeight="1">
      <c r="B83" s="109" t="b">
        <f>REPORT_OWNER="Версия регулятора"</f>
        <v>0</v>
      </c>
      <c r="D83" s="1">
        <v>33</v>
      </c>
      <c r="AC83" s="614" t="s">
        <v>494</v>
      </c>
      <c r="AD83" s="615"/>
    </row>
    <row r="84" spans="2:34" ht="20.25" hidden="1" customHeight="1">
      <c r="B84" s="109" t="b">
        <f>REPORT_OWNER="Версия регулятора"</f>
        <v>0</v>
      </c>
      <c r="D84" s="1">
        <v>33</v>
      </c>
      <c r="AC84" s="614" t="s">
        <v>495</v>
      </c>
      <c r="AD84" s="615"/>
    </row>
    <row r="85" spans="2:34" ht="20.25" hidden="1" customHeight="1">
      <c r="B85" s="109" t="b">
        <f>REPORT_OWNER="Версия регулятора"</f>
        <v>0</v>
      </c>
      <c r="D85" s="1">
        <v>33</v>
      </c>
      <c r="AC85" s="614" t="s">
        <v>496</v>
      </c>
      <c r="AD85" s="615"/>
    </row>
    <row r="86" spans="2:34" ht="24.75" customHeight="1">
      <c r="B86" s="109" t="b">
        <f>TRUE</f>
        <v>1</v>
      </c>
      <c r="D86" s="1">
        <v>33</v>
      </c>
      <c r="AC86" s="614" t="s">
        <v>497</v>
      </c>
      <c r="AD86" s="615"/>
    </row>
    <row r="87" spans="2:34" ht="24.75" customHeight="1">
      <c r="B87" s="109" t="b">
        <f>TRUE</f>
        <v>1</v>
      </c>
      <c r="D87" s="1">
        <v>33</v>
      </c>
      <c r="AC87" s="614" t="s">
        <v>498</v>
      </c>
      <c r="AD87" s="615"/>
    </row>
    <row r="88" spans="2:34" ht="24.75" customHeight="1">
      <c r="B88" s="109" t="b">
        <f>TRUE</f>
        <v>1</v>
      </c>
      <c r="D88" s="1">
        <v>33</v>
      </c>
      <c r="AC88" s="614" t="s">
        <v>499</v>
      </c>
      <c r="AD88" s="615"/>
    </row>
    <row r="89" spans="2:34" ht="24.75" customHeight="1">
      <c r="B89" s="109" t="b">
        <f>TRUE</f>
        <v>1</v>
      </c>
      <c r="D89" s="1">
        <v>33</v>
      </c>
      <c r="AC89" s="614" t="s">
        <v>500</v>
      </c>
      <c r="AD89" s="615"/>
    </row>
    <row r="90" spans="2:34" ht="24.75" customHeight="1">
      <c r="B90" s="109" t="b">
        <f>TRUE</f>
        <v>1</v>
      </c>
      <c r="D90" s="1">
        <v>33</v>
      </c>
      <c r="AC90" s="614" t="s">
        <v>501</v>
      </c>
      <c r="AD90" s="615"/>
    </row>
    <row r="91" spans="2:34" ht="24.75" customHeight="1">
      <c r="B91" s="109" t="b">
        <f>TRUE</f>
        <v>1</v>
      </c>
      <c r="D91" s="1">
        <v>33</v>
      </c>
      <c r="AC91" s="614" t="s">
        <v>502</v>
      </c>
      <c r="AD91" s="615"/>
    </row>
    <row r="92" spans="2:34" ht="24.75" customHeight="1">
      <c r="B92" s="109" t="b">
        <f>TRUE</f>
        <v>1</v>
      </c>
      <c r="D92" s="1">
        <v>33</v>
      </c>
      <c r="AC92" s="614" t="s">
        <v>503</v>
      </c>
      <c r="AD92" s="615"/>
    </row>
    <row r="93" spans="2:34" ht="24.75" customHeight="1">
      <c r="B93" s="109" t="b">
        <f>TRUE</f>
        <v>1</v>
      </c>
      <c r="D93" s="1">
        <v>33</v>
      </c>
      <c r="AC93" s="614" t="s">
        <v>504</v>
      </c>
      <c r="AD93" s="615"/>
    </row>
    <row r="94" spans="2:34" ht="24.75" customHeight="1">
      <c r="B94" s="109" t="b">
        <f>TRUE</f>
        <v>1</v>
      </c>
      <c r="D94" s="1">
        <v>33</v>
      </c>
      <c r="AC94" s="614" t="s">
        <v>505</v>
      </c>
      <c r="AD94" s="615"/>
    </row>
    <row r="95" spans="2:34" ht="11.25" hidden="1" customHeight="1">
      <c r="D95">
        <v>0</v>
      </c>
      <c r="AH95" t="s">
        <v>42</v>
      </c>
    </row>
  </sheetData>
  <sheetProtection formatColumns="0" formatRows="0" insertRows="0" deleteColumns="0" deleteRows="0" sort="0" autoFilter="0"/>
  <mergeCells count="1">
    <mergeCell ref="AB21:AE2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AJ46"/>
  <sheetViews>
    <sheetView showGridLines="0" topLeftCell="AA20" workbookViewId="0">
      <selection activeCell="AA20" sqref="AA20"/>
    </sheetView>
  </sheetViews>
  <sheetFormatPr defaultColWidth="8.85546875" defaultRowHeight="15" customHeight="1"/>
  <cols>
    <col min="1" max="26" width="8.85546875" hidden="1"/>
    <col min="27" max="28" width="9.140625" customWidth="1"/>
    <col min="29" max="29" width="24" customWidth="1"/>
    <col min="30" max="30" width="9.140625" customWidth="1"/>
    <col min="31" max="31" width="33.140625" customWidth="1"/>
    <col min="32" max="32" width="9.140625" customWidth="1"/>
    <col min="33" max="33" width="10.28515625" customWidth="1"/>
    <col min="34" max="35" width="57.140625" customWidth="1"/>
    <col min="36" max="36" width="29.7109375" customWidth="1"/>
  </cols>
  <sheetData>
    <row r="1" spans="1:36" ht="15" hidden="1" customHeight="1">
      <c r="A1" s="595" t="s">
        <v>506</v>
      </c>
      <c r="B1" t="s">
        <v>507</v>
      </c>
      <c r="C1" t="s">
        <v>507</v>
      </c>
      <c r="D1" t="s">
        <v>507</v>
      </c>
      <c r="E1" t="s">
        <v>507</v>
      </c>
      <c r="AA1" t="s">
        <v>507</v>
      </c>
      <c r="AB1" t="s">
        <v>507</v>
      </c>
      <c r="AC1" t="s">
        <v>507</v>
      </c>
      <c r="AD1" t="s">
        <v>507</v>
      </c>
      <c r="AE1" t="s">
        <v>507</v>
      </c>
      <c r="AF1" t="s">
        <v>507</v>
      </c>
      <c r="AG1" t="s">
        <v>507</v>
      </c>
      <c r="AH1" t="s">
        <v>507</v>
      </c>
      <c r="AI1" t="s">
        <v>507</v>
      </c>
      <c r="AJ1" t="s">
        <v>507</v>
      </c>
    </row>
    <row r="2" spans="1:36" ht="15" hidden="1" customHeight="1">
      <c r="A2" t="s">
        <v>507</v>
      </c>
      <c r="B2" t="s">
        <v>507</v>
      </c>
      <c r="C2" t="s">
        <v>507</v>
      </c>
      <c r="D2" t="s">
        <v>507</v>
      </c>
      <c r="E2" t="s">
        <v>507</v>
      </c>
      <c r="AA2" t="s">
        <v>507</v>
      </c>
      <c r="AB2" t="s">
        <v>507</v>
      </c>
      <c r="AC2" t="s">
        <v>507</v>
      </c>
      <c r="AD2" t="s">
        <v>507</v>
      </c>
      <c r="AE2" t="s">
        <v>507</v>
      </c>
      <c r="AF2" t="s">
        <v>507</v>
      </c>
      <c r="AG2" t="s">
        <v>507</v>
      </c>
      <c r="AH2" t="s">
        <v>507</v>
      </c>
      <c r="AI2" t="s">
        <v>507</v>
      </c>
      <c r="AJ2" t="s">
        <v>507</v>
      </c>
    </row>
    <row r="3" spans="1:36" ht="15" hidden="1" customHeight="1">
      <c r="A3" t="s">
        <v>507</v>
      </c>
      <c r="B3" t="s">
        <v>507</v>
      </c>
      <c r="C3" t="s">
        <v>507</v>
      </c>
      <c r="D3" t="s">
        <v>507</v>
      </c>
      <c r="E3" t="s">
        <v>507</v>
      </c>
      <c r="AA3" t="s">
        <v>507</v>
      </c>
      <c r="AB3" t="s">
        <v>507</v>
      </c>
      <c r="AC3" t="s">
        <v>507</v>
      </c>
      <c r="AD3" t="s">
        <v>507</v>
      </c>
      <c r="AE3" t="s">
        <v>507</v>
      </c>
      <c r="AF3" t="s">
        <v>507</v>
      </c>
      <c r="AG3" t="s">
        <v>507</v>
      </c>
      <c r="AH3" t="s">
        <v>507</v>
      </c>
      <c r="AI3" t="s">
        <v>507</v>
      </c>
      <c r="AJ3" t="s">
        <v>507</v>
      </c>
    </row>
    <row r="4" spans="1:36" ht="15" hidden="1" customHeight="1">
      <c r="A4" t="s">
        <v>507</v>
      </c>
      <c r="B4" t="s">
        <v>507</v>
      </c>
      <c r="C4" t="s">
        <v>507</v>
      </c>
      <c r="E4" s="2">
        <v>64</v>
      </c>
      <c r="F4" s="2">
        <v>64</v>
      </c>
      <c r="G4" s="2">
        <v>64</v>
      </c>
      <c r="H4" s="2">
        <v>64</v>
      </c>
      <c r="I4" s="2">
        <v>64</v>
      </c>
      <c r="J4" s="2">
        <v>64</v>
      </c>
      <c r="K4" s="2">
        <v>64</v>
      </c>
      <c r="L4" s="2">
        <v>64</v>
      </c>
      <c r="M4" s="2">
        <v>64</v>
      </c>
      <c r="N4" s="2">
        <v>64</v>
      </c>
      <c r="O4" s="2">
        <v>64</v>
      </c>
      <c r="P4" s="2">
        <v>64</v>
      </c>
      <c r="Q4" s="2">
        <v>64</v>
      </c>
      <c r="R4" s="2">
        <v>64</v>
      </c>
      <c r="S4" s="2">
        <v>64</v>
      </c>
      <c r="T4" s="2">
        <v>64</v>
      </c>
      <c r="U4" s="2">
        <v>64</v>
      </c>
      <c r="V4" s="2">
        <v>64</v>
      </c>
      <c r="W4" s="2">
        <v>64</v>
      </c>
      <c r="X4" s="2">
        <v>64</v>
      </c>
      <c r="Y4" s="2">
        <v>64</v>
      </c>
      <c r="Z4" s="2">
        <v>64</v>
      </c>
      <c r="AA4" s="2">
        <v>64</v>
      </c>
      <c r="AB4" s="2">
        <v>64</v>
      </c>
      <c r="AC4" s="2">
        <v>168</v>
      </c>
      <c r="AD4" s="2">
        <v>64</v>
      </c>
      <c r="AE4" s="2">
        <v>232</v>
      </c>
      <c r="AF4" s="2">
        <v>64</v>
      </c>
      <c r="AG4" s="2">
        <v>72</v>
      </c>
      <c r="AH4" s="2">
        <v>400</v>
      </c>
      <c r="AI4" s="2">
        <v>400</v>
      </c>
      <c r="AJ4" s="2">
        <v>208</v>
      </c>
    </row>
    <row r="5" spans="1:36" ht="15" hidden="1" customHeight="1">
      <c r="A5" t="s">
        <v>507</v>
      </c>
      <c r="B5" t="s">
        <v>507</v>
      </c>
      <c r="C5" t="s">
        <v>507</v>
      </c>
      <c r="D5" s="2">
        <v>40</v>
      </c>
      <c r="E5" t="s">
        <v>507</v>
      </c>
      <c r="AA5" t="s">
        <v>507</v>
      </c>
      <c r="AB5" t="s">
        <v>507</v>
      </c>
      <c r="AC5" t="s">
        <v>507</v>
      </c>
      <c r="AD5" t="s">
        <v>507</v>
      </c>
      <c r="AE5" t="s">
        <v>507</v>
      </c>
      <c r="AF5" t="s">
        <v>507</v>
      </c>
      <c r="AG5" t="s">
        <v>507</v>
      </c>
      <c r="AH5" t="s">
        <v>507</v>
      </c>
      <c r="AI5" t="s">
        <v>507</v>
      </c>
      <c r="AJ5" t="s">
        <v>507</v>
      </c>
    </row>
    <row r="6" spans="1:36" ht="15" hidden="1" customHeight="1">
      <c r="A6" t="s">
        <v>507</v>
      </c>
      <c r="B6" t="s">
        <v>507</v>
      </c>
      <c r="C6" t="s">
        <v>507</v>
      </c>
      <c r="D6" s="2">
        <v>40</v>
      </c>
      <c r="E6" t="s">
        <v>507</v>
      </c>
      <c r="AA6" t="s">
        <v>507</v>
      </c>
      <c r="AB6" t="s">
        <v>507</v>
      </c>
      <c r="AC6" t="s">
        <v>507</v>
      </c>
      <c r="AD6" t="s">
        <v>507</v>
      </c>
      <c r="AE6" t="s">
        <v>507</v>
      </c>
      <c r="AF6" t="s">
        <v>507</v>
      </c>
      <c r="AG6" t="s">
        <v>507</v>
      </c>
      <c r="AH6" t="s">
        <v>507</v>
      </c>
      <c r="AI6" t="s">
        <v>507</v>
      </c>
      <c r="AJ6" t="s">
        <v>507</v>
      </c>
    </row>
    <row r="7" spans="1:36" ht="15" hidden="1" customHeight="1">
      <c r="A7" t="s">
        <v>507</v>
      </c>
      <c r="B7" t="s">
        <v>507</v>
      </c>
      <c r="C7" t="s">
        <v>507</v>
      </c>
      <c r="D7" s="2">
        <v>40</v>
      </c>
      <c r="E7" t="s">
        <v>507</v>
      </c>
      <c r="AA7" t="s">
        <v>507</v>
      </c>
      <c r="AB7" t="s">
        <v>507</v>
      </c>
      <c r="AC7" t="s">
        <v>507</v>
      </c>
      <c r="AD7" t="s">
        <v>507</v>
      </c>
      <c r="AE7" t="s">
        <v>507</v>
      </c>
      <c r="AF7" t="s">
        <v>507</v>
      </c>
      <c r="AG7" t="s">
        <v>507</v>
      </c>
      <c r="AH7" t="s">
        <v>507</v>
      </c>
      <c r="AI7" t="s">
        <v>507</v>
      </c>
      <c r="AJ7" t="s">
        <v>507</v>
      </c>
    </row>
    <row r="8" spans="1:36" ht="15" hidden="1" customHeight="1">
      <c r="A8" t="s">
        <v>507</v>
      </c>
      <c r="B8" t="s">
        <v>507</v>
      </c>
      <c r="C8" t="s">
        <v>507</v>
      </c>
      <c r="D8" s="2">
        <v>40</v>
      </c>
      <c r="E8" t="s">
        <v>507</v>
      </c>
      <c r="AA8" t="s">
        <v>507</v>
      </c>
      <c r="AB8" t="s">
        <v>507</v>
      </c>
      <c r="AC8" t="s">
        <v>507</v>
      </c>
      <c r="AD8" t="s">
        <v>507</v>
      </c>
      <c r="AE8" t="s">
        <v>507</v>
      </c>
      <c r="AF8" t="s">
        <v>507</v>
      </c>
      <c r="AG8" t="s">
        <v>507</v>
      </c>
      <c r="AH8" t="s">
        <v>507</v>
      </c>
      <c r="AI8" t="s">
        <v>507</v>
      </c>
      <c r="AJ8" t="s">
        <v>507</v>
      </c>
    </row>
    <row r="9" spans="1:36" ht="15" hidden="1" customHeight="1">
      <c r="A9" t="s">
        <v>507</v>
      </c>
      <c r="B9" t="s">
        <v>507</v>
      </c>
      <c r="C9" t="s">
        <v>507</v>
      </c>
      <c r="D9" s="2">
        <v>40</v>
      </c>
      <c r="E9" t="s">
        <v>507</v>
      </c>
      <c r="AA9" t="s">
        <v>507</v>
      </c>
      <c r="AB9" t="s">
        <v>507</v>
      </c>
      <c r="AC9" t="s">
        <v>507</v>
      </c>
      <c r="AD9" t="s">
        <v>507</v>
      </c>
      <c r="AE9" t="s">
        <v>507</v>
      </c>
      <c r="AF9" t="s">
        <v>507</v>
      </c>
      <c r="AG9" t="s">
        <v>507</v>
      </c>
      <c r="AH9" t="s">
        <v>507</v>
      </c>
      <c r="AI9" t="s">
        <v>507</v>
      </c>
      <c r="AJ9" t="s">
        <v>507</v>
      </c>
    </row>
    <row r="10" spans="1:36" ht="15" hidden="1" customHeight="1">
      <c r="A10" t="s">
        <v>507</v>
      </c>
      <c r="B10" t="s">
        <v>507</v>
      </c>
      <c r="C10" t="s">
        <v>507</v>
      </c>
      <c r="D10" s="2">
        <v>40</v>
      </c>
      <c r="E10" t="s">
        <v>507</v>
      </c>
      <c r="AA10" t="s">
        <v>507</v>
      </c>
      <c r="AB10" t="s">
        <v>507</v>
      </c>
      <c r="AC10" t="s">
        <v>507</v>
      </c>
      <c r="AD10" t="s">
        <v>507</v>
      </c>
      <c r="AE10" t="s">
        <v>507</v>
      </c>
      <c r="AF10" t="s">
        <v>507</v>
      </c>
      <c r="AG10" t="s">
        <v>507</v>
      </c>
      <c r="AH10" t="s">
        <v>507</v>
      </c>
      <c r="AI10" t="s">
        <v>507</v>
      </c>
      <c r="AJ10" t="s">
        <v>507</v>
      </c>
    </row>
    <row r="11" spans="1:36" ht="15" hidden="1" customHeight="1">
      <c r="A11" t="s">
        <v>507</v>
      </c>
      <c r="B11" t="s">
        <v>507</v>
      </c>
      <c r="C11" t="s">
        <v>507</v>
      </c>
      <c r="D11" s="2">
        <v>24</v>
      </c>
      <c r="E11" t="s">
        <v>507</v>
      </c>
      <c r="AA11" t="s">
        <v>507</v>
      </c>
      <c r="AB11" t="s">
        <v>507</v>
      </c>
      <c r="AC11" t="s">
        <v>507</v>
      </c>
      <c r="AD11" t="s">
        <v>507</v>
      </c>
      <c r="AE11" t="s">
        <v>507</v>
      </c>
      <c r="AF11" t="s">
        <v>507</v>
      </c>
      <c r="AG11" t="s">
        <v>507</v>
      </c>
      <c r="AH11" t="s">
        <v>507</v>
      </c>
      <c r="AI11" t="s">
        <v>507</v>
      </c>
      <c r="AJ11" t="s">
        <v>507</v>
      </c>
    </row>
    <row r="12" spans="1:36" ht="15" hidden="1" customHeight="1">
      <c r="D12" s="2">
        <v>40</v>
      </c>
    </row>
    <row r="13" spans="1:36" ht="15" hidden="1" customHeight="1">
      <c r="D13" s="2">
        <v>40</v>
      </c>
    </row>
    <row r="14" spans="1:36" ht="15" hidden="1" customHeight="1">
      <c r="D14" s="2">
        <v>40</v>
      </c>
    </row>
    <row r="15" spans="1:36" ht="15" hidden="1" customHeight="1">
      <c r="D15" s="2">
        <v>40</v>
      </c>
    </row>
    <row r="16" spans="1:36" ht="15" hidden="1" customHeight="1">
      <c r="D16" s="2">
        <v>40</v>
      </c>
    </row>
    <row r="17" spans="1:36" ht="15" hidden="1" customHeight="1">
      <c r="D17" s="2">
        <v>40</v>
      </c>
    </row>
    <row r="18" spans="1:36" ht="15" hidden="1" customHeight="1">
      <c r="D18" s="2">
        <v>40</v>
      </c>
    </row>
    <row r="19" spans="1:36" ht="15" hidden="1" customHeight="1">
      <c r="D19" s="2">
        <v>40</v>
      </c>
    </row>
    <row r="20" spans="1:36" ht="30" customHeight="1">
      <c r="D20" s="2">
        <v>40</v>
      </c>
    </row>
    <row r="21" spans="1:36" ht="27" customHeight="1">
      <c r="A21" t="s">
        <v>507</v>
      </c>
      <c r="B21" t="s">
        <v>507</v>
      </c>
      <c r="C21" t="s">
        <v>507</v>
      </c>
      <c r="D21" s="2">
        <v>36</v>
      </c>
      <c r="E21" t="s">
        <v>507</v>
      </c>
      <c r="AA21" t="s">
        <v>507</v>
      </c>
      <c r="AB21" s="596" t="s">
        <v>507</v>
      </c>
      <c r="AC21" s="596" t="s">
        <v>508</v>
      </c>
      <c r="AD21" s="597"/>
      <c r="AE21" s="597"/>
      <c r="AF21" s="597"/>
      <c r="AG21" s="597"/>
      <c r="AH21" s="597"/>
      <c r="AI21" s="597"/>
      <c r="AJ21" s="597"/>
    </row>
    <row r="22" spans="1:36" ht="18" customHeight="1">
      <c r="A22" t="s">
        <v>507</v>
      </c>
      <c r="B22" t="s">
        <v>507</v>
      </c>
      <c r="C22" t="s">
        <v>507</v>
      </c>
      <c r="D22" s="2">
        <v>24</v>
      </c>
      <c r="E22" t="s">
        <v>507</v>
      </c>
      <c r="AA22" t="s">
        <v>507</v>
      </c>
      <c r="AB22" t="s">
        <v>507</v>
      </c>
      <c r="AC22" t="s">
        <v>507</v>
      </c>
      <c r="AD22" t="s">
        <v>507</v>
      </c>
      <c r="AE22" t="s">
        <v>507</v>
      </c>
      <c r="AF22" t="s">
        <v>507</v>
      </c>
      <c r="AG22" t="s">
        <v>507</v>
      </c>
      <c r="AH22" t="s">
        <v>507</v>
      </c>
      <c r="AI22" t="s">
        <v>507</v>
      </c>
      <c r="AJ22" t="s">
        <v>507</v>
      </c>
    </row>
    <row r="23" spans="1:36" ht="39.75" customHeight="1">
      <c r="A23" t="s">
        <v>507</v>
      </c>
      <c r="B23" t="s">
        <v>507</v>
      </c>
      <c r="C23" t="s">
        <v>507</v>
      </c>
      <c r="D23" s="2">
        <v>53</v>
      </c>
      <c r="E23" t="s">
        <v>507</v>
      </c>
      <c r="AA23" t="s">
        <v>507</v>
      </c>
      <c r="AB23" s="598" t="s">
        <v>509</v>
      </c>
      <c r="AC23" s="598" t="s">
        <v>510</v>
      </c>
      <c r="AD23" s="598" t="s">
        <v>509</v>
      </c>
      <c r="AE23" s="598" t="s">
        <v>511</v>
      </c>
      <c r="AF23" s="598" t="s">
        <v>509</v>
      </c>
      <c r="AG23" s="598" t="s">
        <v>512</v>
      </c>
      <c r="AH23" s="598" t="s">
        <v>513</v>
      </c>
      <c r="AI23" s="598" t="s">
        <v>514</v>
      </c>
      <c r="AJ23" s="598" t="s">
        <v>515</v>
      </c>
    </row>
    <row r="24" spans="1:36" ht="30" customHeight="1">
      <c r="A24" t="s">
        <v>507</v>
      </c>
      <c r="B24" t="s">
        <v>507</v>
      </c>
      <c r="C24" t="s">
        <v>507</v>
      </c>
      <c r="D24" s="2">
        <v>40</v>
      </c>
      <c r="E24" t="s">
        <v>507</v>
      </c>
      <c r="AA24" t="s">
        <v>507</v>
      </c>
      <c r="AB24" s="599">
        <v>0</v>
      </c>
      <c r="AC24" s="600" t="s">
        <v>507</v>
      </c>
      <c r="AD24" s="601" t="s">
        <v>507</v>
      </c>
      <c r="AE24" s="601" t="s">
        <v>507</v>
      </c>
      <c r="AF24" s="602" t="s">
        <v>507</v>
      </c>
      <c r="AG24" s="602" t="s">
        <v>507</v>
      </c>
      <c r="AH24" s="602" t="s">
        <v>507</v>
      </c>
      <c r="AI24" s="602" t="s">
        <v>507</v>
      </c>
      <c r="AJ24" s="603" t="s">
        <v>507</v>
      </c>
    </row>
    <row r="25" spans="1:36" ht="30" customHeight="1">
      <c r="A25" t="s">
        <v>507</v>
      </c>
      <c r="B25" t="s">
        <v>507</v>
      </c>
      <c r="C25" t="s">
        <v>507</v>
      </c>
      <c r="D25" s="2">
        <v>40</v>
      </c>
      <c r="E25" t="s">
        <v>507</v>
      </c>
      <c r="AA25" t="s">
        <v>507</v>
      </c>
      <c r="AB25" s="604" t="s">
        <v>507</v>
      </c>
      <c r="AC25" s="605" t="s">
        <v>507</v>
      </c>
      <c r="AD25" s="605" t="s">
        <v>507</v>
      </c>
      <c r="AE25" s="605" t="s">
        <v>507</v>
      </c>
      <c r="AF25" s="605" t="s">
        <v>507</v>
      </c>
      <c r="AG25" s="605" t="s">
        <v>507</v>
      </c>
      <c r="AH25" s="605" t="s">
        <v>507</v>
      </c>
      <c r="AI25" s="605" t="s">
        <v>507</v>
      </c>
      <c r="AJ25" s="606" t="s">
        <v>507</v>
      </c>
    </row>
    <row r="26" spans="1:36" ht="18" customHeight="1">
      <c r="A26" t="s">
        <v>507</v>
      </c>
      <c r="B26" t="s">
        <v>507</v>
      </c>
      <c r="C26" t="s">
        <v>507</v>
      </c>
      <c r="D26" s="2">
        <v>24</v>
      </c>
      <c r="E26" t="s">
        <v>507</v>
      </c>
      <c r="AA26" t="s">
        <v>507</v>
      </c>
      <c r="AB26" t="s">
        <v>507</v>
      </c>
      <c r="AC26" t="s">
        <v>507</v>
      </c>
      <c r="AD26" t="s">
        <v>507</v>
      </c>
      <c r="AE26" t="s">
        <v>507</v>
      </c>
      <c r="AF26" t="s">
        <v>507</v>
      </c>
      <c r="AG26" t="s">
        <v>507</v>
      </c>
      <c r="AH26" t="s">
        <v>507</v>
      </c>
      <c r="AI26" t="s">
        <v>507</v>
      </c>
      <c r="AJ26" t="s">
        <v>507</v>
      </c>
    </row>
    <row r="27" spans="1:36" ht="18" customHeight="1">
      <c r="A27" t="s">
        <v>507</v>
      </c>
      <c r="B27" t="s">
        <v>507</v>
      </c>
      <c r="C27" t="s">
        <v>507</v>
      </c>
      <c r="D27" s="2">
        <v>24</v>
      </c>
      <c r="E27" t="s">
        <v>507</v>
      </c>
      <c r="AA27" t="s">
        <v>507</v>
      </c>
      <c r="AB27" t="s">
        <v>507</v>
      </c>
      <c r="AC27" t="s">
        <v>507</v>
      </c>
      <c r="AD27" t="s">
        <v>507</v>
      </c>
      <c r="AE27" t="s">
        <v>507</v>
      </c>
      <c r="AF27" t="s">
        <v>507</v>
      </c>
      <c r="AG27" t="s">
        <v>507</v>
      </c>
      <c r="AH27" t="s">
        <v>507</v>
      </c>
      <c r="AI27" t="s">
        <v>507</v>
      </c>
      <c r="AJ27" t="s">
        <v>507</v>
      </c>
    </row>
    <row r="28" spans="1:36" ht="18" customHeight="1">
      <c r="A28" s="15" t="s">
        <v>516</v>
      </c>
      <c r="B28" t="s">
        <v>507</v>
      </c>
      <c r="C28" t="s">
        <v>507</v>
      </c>
      <c r="D28" s="2">
        <v>24</v>
      </c>
      <c r="E28" t="s">
        <v>507</v>
      </c>
      <c r="AA28" t="s">
        <v>507</v>
      </c>
      <c r="AB28" t="s">
        <v>507</v>
      </c>
      <c r="AC28" t="s">
        <v>507</v>
      </c>
      <c r="AD28" t="s">
        <v>507</v>
      </c>
      <c r="AE28" t="s">
        <v>507</v>
      </c>
      <c r="AF28" t="s">
        <v>507</v>
      </c>
      <c r="AG28" t="s">
        <v>507</v>
      </c>
      <c r="AH28" t="s">
        <v>507</v>
      </c>
      <c r="AI28" t="s">
        <v>507</v>
      </c>
      <c r="AJ28" t="s">
        <v>507</v>
      </c>
    </row>
    <row r="29" spans="1:36" ht="1.5" customHeight="1">
      <c r="A29" t="s">
        <v>507</v>
      </c>
      <c r="B29" t="s">
        <v>507</v>
      </c>
      <c r="C29" t="s">
        <v>507</v>
      </c>
      <c r="D29" s="2">
        <v>2</v>
      </c>
      <c r="E29" t="s">
        <v>507</v>
      </c>
      <c r="AA29" s="787" t="s">
        <v>517</v>
      </c>
      <c r="AB29" s="788" t="s">
        <v>507</v>
      </c>
      <c r="AC29" s="788" t="s">
        <v>507</v>
      </c>
      <c r="AD29" s="605">
        <v>0</v>
      </c>
      <c r="AE29" s="605" t="s">
        <v>507</v>
      </c>
      <c r="AF29" s="605" t="s">
        <v>507</v>
      </c>
      <c r="AG29" s="605" t="s">
        <v>507</v>
      </c>
      <c r="AH29" s="605" t="s">
        <v>507</v>
      </c>
      <c r="AI29" s="605" t="s">
        <v>507</v>
      </c>
      <c r="AJ29" s="606" t="s">
        <v>507</v>
      </c>
    </row>
    <row r="30" spans="1:36" ht="1.5" customHeight="1">
      <c r="A30" t="s">
        <v>507</v>
      </c>
      <c r="B30" t="s">
        <v>507</v>
      </c>
      <c r="C30" t="s">
        <v>507</v>
      </c>
      <c r="D30" s="2">
        <v>2</v>
      </c>
      <c r="E30" t="s">
        <v>507</v>
      </c>
      <c r="AA30" s="787" t="s">
        <v>507</v>
      </c>
      <c r="AB30" s="788" t="s">
        <v>507</v>
      </c>
      <c r="AC30" s="788" t="s">
        <v>507</v>
      </c>
      <c r="AD30" s="605" t="s">
        <v>507</v>
      </c>
      <c r="AE30" s="605" t="s">
        <v>507</v>
      </c>
      <c r="AF30" s="605" t="s">
        <v>507</v>
      </c>
      <c r="AG30" s="605" t="s">
        <v>507</v>
      </c>
      <c r="AH30" s="605" t="s">
        <v>507</v>
      </c>
      <c r="AI30" s="605" t="s">
        <v>507</v>
      </c>
      <c r="AJ30" s="606" t="s">
        <v>507</v>
      </c>
    </row>
    <row r="31" spans="1:36" ht="18" customHeight="1">
      <c r="A31" t="s">
        <v>507</v>
      </c>
      <c r="B31" t="s">
        <v>507</v>
      </c>
      <c r="C31" t="s">
        <v>507</v>
      </c>
      <c r="D31" s="2">
        <v>24</v>
      </c>
      <c r="E31" t="s">
        <v>507</v>
      </c>
      <c r="AA31" t="s">
        <v>507</v>
      </c>
      <c r="AB31" t="s">
        <v>507</v>
      </c>
      <c r="AC31" t="s">
        <v>507</v>
      </c>
      <c r="AD31" t="s">
        <v>507</v>
      </c>
      <c r="AE31" t="s">
        <v>507</v>
      </c>
      <c r="AF31" t="s">
        <v>507</v>
      </c>
      <c r="AG31" t="s">
        <v>507</v>
      </c>
      <c r="AH31" t="s">
        <v>507</v>
      </c>
      <c r="AI31" t="s">
        <v>507</v>
      </c>
      <c r="AJ31" t="s">
        <v>507</v>
      </c>
    </row>
    <row r="32" spans="1:36" ht="18" customHeight="1">
      <c r="A32" s="15" t="s">
        <v>518</v>
      </c>
      <c r="B32" t="s">
        <v>507</v>
      </c>
      <c r="C32" t="s">
        <v>507</v>
      </c>
      <c r="D32" s="2">
        <v>24</v>
      </c>
      <c r="E32" t="s">
        <v>507</v>
      </c>
      <c r="AA32" t="s">
        <v>507</v>
      </c>
      <c r="AB32" t="s">
        <v>507</v>
      </c>
      <c r="AC32" t="s">
        <v>507</v>
      </c>
      <c r="AD32" t="s">
        <v>507</v>
      </c>
      <c r="AE32" t="s">
        <v>507</v>
      </c>
      <c r="AF32" t="s">
        <v>507</v>
      </c>
      <c r="AG32" t="s">
        <v>507</v>
      </c>
      <c r="AH32" t="s">
        <v>507</v>
      </c>
      <c r="AI32" t="s">
        <v>507</v>
      </c>
      <c r="AJ32" t="s">
        <v>507</v>
      </c>
    </row>
    <row r="33" spans="1:36" ht="1.5" customHeight="1">
      <c r="A33" t="s">
        <v>507</v>
      </c>
      <c r="B33" t="s">
        <v>507</v>
      </c>
      <c r="C33" t="s">
        <v>507</v>
      </c>
      <c r="D33" s="2">
        <v>2</v>
      </c>
      <c r="E33" t="s">
        <v>507</v>
      </c>
      <c r="AA33" t="s">
        <v>507</v>
      </c>
      <c r="AB33" s="607" t="s">
        <v>507</v>
      </c>
      <c r="AC33" s="607" t="s">
        <v>507</v>
      </c>
      <c r="AD33" s="789" t="s">
        <v>507</v>
      </c>
      <c r="AE33" s="790" t="s">
        <v>507</v>
      </c>
      <c r="AF33" s="608">
        <v>0</v>
      </c>
      <c r="AG33" s="609" t="s">
        <v>507</v>
      </c>
      <c r="AH33" s="609" t="s">
        <v>507</v>
      </c>
      <c r="AI33" s="609" t="s">
        <v>507</v>
      </c>
      <c r="AJ33" s="610" t="s">
        <v>507</v>
      </c>
    </row>
    <row r="34" spans="1:36" ht="1.5" customHeight="1">
      <c r="A34" t="s">
        <v>507</v>
      </c>
      <c r="B34" t="s">
        <v>507</v>
      </c>
      <c r="C34" t="s">
        <v>507</v>
      </c>
      <c r="D34" s="2">
        <v>2</v>
      </c>
      <c r="E34" t="s">
        <v>507</v>
      </c>
      <c r="AA34" t="s">
        <v>507</v>
      </c>
      <c r="AB34" s="607" t="s">
        <v>507</v>
      </c>
      <c r="AC34" s="607" t="s">
        <v>507</v>
      </c>
      <c r="AD34" s="789" t="s">
        <v>507</v>
      </c>
      <c r="AE34" s="790" t="s">
        <v>507</v>
      </c>
      <c r="AF34" s="608" t="s">
        <v>507</v>
      </c>
      <c r="AG34" s="609" t="s">
        <v>507</v>
      </c>
      <c r="AH34" s="609" t="s">
        <v>507</v>
      </c>
      <c r="AI34" s="609" t="s">
        <v>507</v>
      </c>
      <c r="AJ34" s="610" t="s">
        <v>507</v>
      </c>
    </row>
    <row r="35" spans="1:36" ht="18" customHeight="1">
      <c r="A35" t="s">
        <v>507</v>
      </c>
      <c r="B35" t="s">
        <v>507</v>
      </c>
      <c r="C35" t="s">
        <v>507</v>
      </c>
      <c r="D35" s="2">
        <v>24</v>
      </c>
      <c r="E35" t="s">
        <v>507</v>
      </c>
      <c r="AA35" t="s">
        <v>507</v>
      </c>
      <c r="AB35" t="s">
        <v>507</v>
      </c>
      <c r="AC35" t="s">
        <v>507</v>
      </c>
      <c r="AD35" t="s">
        <v>507</v>
      </c>
      <c r="AE35" t="s">
        <v>507</v>
      </c>
      <c r="AF35" t="s">
        <v>507</v>
      </c>
      <c r="AG35" t="s">
        <v>507</v>
      </c>
      <c r="AH35" t="s">
        <v>507</v>
      </c>
      <c r="AI35" t="s">
        <v>507</v>
      </c>
      <c r="AJ35" t="s">
        <v>507</v>
      </c>
    </row>
    <row r="36" spans="1:36" ht="18" customHeight="1">
      <c r="A36" s="15" t="s">
        <v>519</v>
      </c>
      <c r="B36" t="s">
        <v>507</v>
      </c>
      <c r="C36" t="s">
        <v>507</v>
      </c>
      <c r="D36" s="2">
        <v>24</v>
      </c>
      <c r="E36" t="s">
        <v>507</v>
      </c>
      <c r="AA36" t="s">
        <v>507</v>
      </c>
      <c r="AB36" t="s">
        <v>507</v>
      </c>
      <c r="AC36" t="s">
        <v>507</v>
      </c>
      <c r="AD36" t="s">
        <v>507</v>
      </c>
      <c r="AE36" t="s">
        <v>507</v>
      </c>
      <c r="AF36" t="s">
        <v>507</v>
      </c>
      <c r="AG36" t="s">
        <v>507</v>
      </c>
      <c r="AH36" t="s">
        <v>507</v>
      </c>
      <c r="AI36" t="s">
        <v>507</v>
      </c>
      <c r="AJ36" t="s">
        <v>507</v>
      </c>
    </row>
    <row r="37" spans="1:36" ht="15.75" hidden="1" customHeight="1">
      <c r="A37" t="s">
        <v>507</v>
      </c>
      <c r="B37" t="b">
        <f>AF37&lt;&gt;$AF$37</f>
        <v>0</v>
      </c>
      <c r="C37" t="s">
        <v>507</v>
      </c>
      <c r="D37">
        <v>24</v>
      </c>
      <c r="E37" t="s">
        <v>507</v>
      </c>
      <c r="AA37" t="s">
        <v>507</v>
      </c>
      <c r="AB37" s="607" t="s">
        <v>507</v>
      </c>
      <c r="AC37" s="607" t="s">
        <v>507</v>
      </c>
      <c r="AD37" s="607" t="s">
        <v>507</v>
      </c>
      <c r="AE37" s="607" t="s">
        <v>507</v>
      </c>
      <c r="AF37" s="611" t="s">
        <v>507</v>
      </c>
      <c r="AG37" s="612" t="s">
        <v>507</v>
      </c>
      <c r="AH37" s="613" t="s">
        <v>507</v>
      </c>
      <c r="AI37" s="613" t="s">
        <v>507</v>
      </c>
      <c r="AJ37" s="613" t="s">
        <v>507</v>
      </c>
    </row>
    <row r="38" spans="1:36" ht="30" customHeight="1">
      <c r="A38" t="s">
        <v>507</v>
      </c>
      <c r="B38" t="s">
        <v>507</v>
      </c>
      <c r="C38" t="s">
        <v>507</v>
      </c>
      <c r="D38">
        <v>40</v>
      </c>
      <c r="E38" t="s">
        <v>507</v>
      </c>
      <c r="AA38" t="s">
        <v>507</v>
      </c>
      <c r="AB38" t="s">
        <v>507</v>
      </c>
      <c r="AC38" t="s">
        <v>507</v>
      </c>
      <c r="AD38" t="s">
        <v>507</v>
      </c>
      <c r="AE38" t="s">
        <v>507</v>
      </c>
      <c r="AF38" t="s">
        <v>507</v>
      </c>
      <c r="AG38" t="s">
        <v>507</v>
      </c>
      <c r="AH38" t="s">
        <v>507</v>
      </c>
      <c r="AI38" t="s">
        <v>507</v>
      </c>
      <c r="AJ38" t="s">
        <v>507</v>
      </c>
    </row>
    <row r="39" spans="1:36" ht="30" customHeight="1">
      <c r="A39" t="s">
        <v>507</v>
      </c>
      <c r="B39" t="s">
        <v>507</v>
      </c>
      <c r="C39" t="s">
        <v>507</v>
      </c>
      <c r="D39">
        <v>40</v>
      </c>
      <c r="E39" t="s">
        <v>507</v>
      </c>
      <c r="AA39" t="s">
        <v>507</v>
      </c>
      <c r="AB39" t="s">
        <v>507</v>
      </c>
      <c r="AC39" t="s">
        <v>507</v>
      </c>
      <c r="AD39" t="s">
        <v>507</v>
      </c>
      <c r="AE39" t="s">
        <v>507</v>
      </c>
      <c r="AF39" t="s">
        <v>507</v>
      </c>
      <c r="AG39" t="s">
        <v>507</v>
      </c>
      <c r="AH39" t="s">
        <v>507</v>
      </c>
      <c r="AI39" t="s">
        <v>507</v>
      </c>
      <c r="AJ39" t="s">
        <v>507</v>
      </c>
    </row>
    <row r="40" spans="1:36" ht="30" customHeight="1">
      <c r="A40" t="s">
        <v>507</v>
      </c>
      <c r="B40" t="s">
        <v>507</v>
      </c>
      <c r="C40" t="s">
        <v>507</v>
      </c>
      <c r="D40">
        <v>40</v>
      </c>
      <c r="E40" t="s">
        <v>507</v>
      </c>
      <c r="AA40" t="s">
        <v>507</v>
      </c>
      <c r="AB40" t="s">
        <v>507</v>
      </c>
      <c r="AC40" t="s">
        <v>507</v>
      </c>
      <c r="AD40" t="s">
        <v>507</v>
      </c>
      <c r="AE40" t="s">
        <v>507</v>
      </c>
      <c r="AF40" t="s">
        <v>507</v>
      </c>
      <c r="AG40" t="s">
        <v>507</v>
      </c>
      <c r="AH40" t="s">
        <v>507</v>
      </c>
      <c r="AI40" t="s">
        <v>507</v>
      </c>
      <c r="AJ40" t="s">
        <v>507</v>
      </c>
    </row>
    <row r="41" spans="1:36" ht="30" customHeight="1">
      <c r="A41" t="s">
        <v>507</v>
      </c>
      <c r="B41" t="s">
        <v>507</v>
      </c>
      <c r="C41" t="s">
        <v>507</v>
      </c>
      <c r="D41">
        <v>40</v>
      </c>
      <c r="E41" t="s">
        <v>507</v>
      </c>
      <c r="AA41" t="s">
        <v>507</v>
      </c>
      <c r="AB41" t="s">
        <v>507</v>
      </c>
      <c r="AC41" t="s">
        <v>507</v>
      </c>
      <c r="AD41" t="s">
        <v>507</v>
      </c>
      <c r="AE41" t="s">
        <v>507</v>
      </c>
      <c r="AF41" t="s">
        <v>507</v>
      </c>
      <c r="AG41" t="s">
        <v>507</v>
      </c>
      <c r="AH41" t="s">
        <v>507</v>
      </c>
      <c r="AI41" t="s">
        <v>507</v>
      </c>
      <c r="AJ41" t="s">
        <v>507</v>
      </c>
    </row>
    <row r="42" spans="1:36" ht="30" customHeight="1">
      <c r="A42" t="s">
        <v>507</v>
      </c>
      <c r="B42" t="s">
        <v>507</v>
      </c>
      <c r="C42" t="s">
        <v>507</v>
      </c>
      <c r="D42">
        <v>40</v>
      </c>
      <c r="E42" t="s">
        <v>507</v>
      </c>
      <c r="AA42" t="s">
        <v>507</v>
      </c>
      <c r="AB42" t="s">
        <v>507</v>
      </c>
      <c r="AC42" t="s">
        <v>507</v>
      </c>
      <c r="AD42" t="s">
        <v>507</v>
      </c>
      <c r="AE42" t="s">
        <v>507</v>
      </c>
      <c r="AF42" t="s">
        <v>507</v>
      </c>
      <c r="AG42" t="s">
        <v>507</v>
      </c>
      <c r="AH42" t="s">
        <v>507</v>
      </c>
      <c r="AI42" t="s">
        <v>507</v>
      </c>
      <c r="AJ42" t="s">
        <v>507</v>
      </c>
    </row>
    <row r="43" spans="1:36" ht="30" customHeight="1">
      <c r="A43" t="s">
        <v>507</v>
      </c>
      <c r="B43" t="s">
        <v>507</v>
      </c>
      <c r="C43" t="s">
        <v>507</v>
      </c>
      <c r="D43">
        <v>40</v>
      </c>
      <c r="E43" t="s">
        <v>507</v>
      </c>
      <c r="AA43" t="s">
        <v>507</v>
      </c>
      <c r="AB43" t="s">
        <v>507</v>
      </c>
      <c r="AC43" t="s">
        <v>507</v>
      </c>
      <c r="AD43" t="s">
        <v>507</v>
      </c>
      <c r="AE43" t="s">
        <v>507</v>
      </c>
      <c r="AF43" t="s">
        <v>507</v>
      </c>
      <c r="AG43" t="s">
        <v>507</v>
      </c>
      <c r="AH43" t="s">
        <v>507</v>
      </c>
      <c r="AI43" t="s">
        <v>507</v>
      </c>
      <c r="AJ43" t="s">
        <v>507</v>
      </c>
    </row>
    <row r="44" spans="1:36" ht="30" customHeight="1">
      <c r="A44" t="s">
        <v>507</v>
      </c>
      <c r="B44" t="s">
        <v>507</v>
      </c>
      <c r="C44" t="s">
        <v>507</v>
      </c>
      <c r="D44">
        <v>40</v>
      </c>
      <c r="E44" t="s">
        <v>507</v>
      </c>
      <c r="AA44" t="s">
        <v>507</v>
      </c>
      <c r="AB44" t="s">
        <v>507</v>
      </c>
      <c r="AC44" t="s">
        <v>507</v>
      </c>
      <c r="AD44" t="s">
        <v>507</v>
      </c>
      <c r="AE44" t="s">
        <v>507</v>
      </c>
      <c r="AF44" t="s">
        <v>507</v>
      </c>
      <c r="AG44" t="s">
        <v>507</v>
      </c>
      <c r="AH44" t="s">
        <v>507</v>
      </c>
      <c r="AI44" t="s">
        <v>507</v>
      </c>
      <c r="AJ44" t="s">
        <v>507</v>
      </c>
    </row>
    <row r="45" spans="1:36" ht="30" customHeight="1">
      <c r="A45" t="s">
        <v>507</v>
      </c>
      <c r="B45" t="s">
        <v>507</v>
      </c>
      <c r="C45" t="s">
        <v>507</v>
      </c>
      <c r="D45">
        <v>40</v>
      </c>
      <c r="E45" t="s">
        <v>507</v>
      </c>
      <c r="AA45" t="s">
        <v>507</v>
      </c>
      <c r="AB45" t="s">
        <v>507</v>
      </c>
      <c r="AC45" t="s">
        <v>507</v>
      </c>
      <c r="AD45" t="s">
        <v>507</v>
      </c>
      <c r="AE45" t="s">
        <v>507</v>
      </c>
      <c r="AF45" t="s">
        <v>507</v>
      </c>
      <c r="AG45" t="s">
        <v>507</v>
      </c>
      <c r="AH45" t="s">
        <v>507</v>
      </c>
      <c r="AI45" t="s">
        <v>507</v>
      </c>
      <c r="AJ45" t="s">
        <v>507</v>
      </c>
    </row>
    <row r="46" spans="1:36" ht="30" customHeight="1">
      <c r="A46" t="s">
        <v>507</v>
      </c>
      <c r="B46" t="s">
        <v>507</v>
      </c>
      <c r="C46" t="s">
        <v>507</v>
      </c>
      <c r="D46">
        <v>40</v>
      </c>
      <c r="E46" t="s">
        <v>507</v>
      </c>
      <c r="AA46" t="s">
        <v>507</v>
      </c>
      <c r="AB46" t="s">
        <v>507</v>
      </c>
      <c r="AC46" t="s">
        <v>507</v>
      </c>
      <c r="AD46" t="s">
        <v>507</v>
      </c>
      <c r="AE46" t="s">
        <v>507</v>
      </c>
      <c r="AF46" t="s">
        <v>507</v>
      </c>
      <c r="AG46" t="s">
        <v>507</v>
      </c>
      <c r="AH46" t="s">
        <v>507</v>
      </c>
      <c r="AI46" t="s">
        <v>507</v>
      </c>
      <c r="AJ46" t="s">
        <v>507</v>
      </c>
    </row>
  </sheetData>
  <sheetProtection insertRows="0" deleteColumns="0" deleteRows="0" sort="0" autoFilter="0"/>
  <mergeCells count="5">
    <mergeCell ref="AA29:AA30"/>
    <mergeCell ref="AB29:AB30"/>
    <mergeCell ref="AC29:AC30"/>
    <mergeCell ref="AD33:AD34"/>
    <mergeCell ref="AE33:AE34"/>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7"/>
  <sheetViews>
    <sheetView showGridLines="0" topLeftCell="AA20" workbookViewId="0">
      <selection activeCell="AA20" sqref="AA20"/>
    </sheetView>
  </sheetViews>
  <sheetFormatPr defaultRowHeight="11.25" customHeight="1"/>
  <cols>
    <col min="1" max="26" width="9.140625" hidden="1"/>
    <col min="27" max="28" width="6.85546875" customWidth="1"/>
    <col min="29" max="29" width="86.85546875" customWidth="1"/>
    <col min="30" max="30" width="48" customWidth="1"/>
    <col min="31" max="32" width="9.140625" hidden="1"/>
  </cols>
  <sheetData>
    <row r="1" spans="4:32" ht="11.25" hidden="1" customHeight="1">
      <c r="AA1" s="40" t="s">
        <v>520</v>
      </c>
      <c r="AB1" s="40" t="s">
        <v>521</v>
      </c>
      <c r="AC1" s="40" t="s">
        <v>522</v>
      </c>
      <c r="AE1" s="2" t="s">
        <v>523</v>
      </c>
    </row>
    <row r="2" spans="4:32" ht="11.25" hidden="1" customHeight="1"/>
    <row r="3" spans="4:32" ht="11.25" hidden="1" customHeight="1"/>
    <row r="4" spans="4:32" ht="11.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48</v>
      </c>
      <c r="AC4" s="1">
        <v>608</v>
      </c>
      <c r="AD4" s="1">
        <v>336</v>
      </c>
      <c r="AE4" s="2">
        <v>0</v>
      </c>
      <c r="AF4" s="2">
        <v>0</v>
      </c>
    </row>
    <row r="5" spans="4:32" ht="11.25" hidden="1" customHeight="1">
      <c r="D5" s="1">
        <v>40</v>
      </c>
      <c r="E5" s="40" t="s">
        <v>524</v>
      </c>
      <c r="AC5" s="1" t="str">
        <f>"""fieldUniq"":"""&amp;AC24&amp;""""</f>
        <v>"fieldUniq":"Показатели"</v>
      </c>
    </row>
    <row r="6" spans="4:32" ht="11.25" hidden="1" customHeight="1">
      <c r="D6" s="1">
        <v>40</v>
      </c>
    </row>
    <row r="7" spans="4:32" ht="11.25" hidden="1" customHeight="1">
      <c r="D7" s="1">
        <v>40</v>
      </c>
    </row>
    <row r="8" spans="4:32" ht="11.25" hidden="1" customHeight="1">
      <c r="D8" s="1">
        <v>40</v>
      </c>
    </row>
    <row r="9" spans="4:32" ht="11.25" hidden="1" customHeight="1">
      <c r="D9" s="1">
        <v>40</v>
      </c>
    </row>
    <row r="10" spans="4:32" ht="11.25" hidden="1" customHeight="1">
      <c r="D10" s="1">
        <v>40</v>
      </c>
    </row>
    <row r="11" spans="4:32" ht="11.25" hidden="1" customHeight="1">
      <c r="D11" s="1">
        <v>40</v>
      </c>
    </row>
    <row r="12" spans="4:32" ht="11.25" hidden="1" customHeight="1">
      <c r="D12" s="1">
        <v>40</v>
      </c>
    </row>
    <row r="13" spans="4:32" ht="11.25" hidden="1" customHeight="1">
      <c r="D13" s="1">
        <v>40</v>
      </c>
    </row>
    <row r="14" spans="4:32" ht="11.25" hidden="1" customHeight="1">
      <c r="D14" s="1">
        <v>40</v>
      </c>
    </row>
    <row r="15" spans="4:32" ht="11.25" hidden="1" customHeight="1">
      <c r="D15" s="1">
        <v>40</v>
      </c>
    </row>
    <row r="16" spans="4:32" ht="11.25" hidden="1" customHeight="1">
      <c r="D16" s="1">
        <v>40</v>
      </c>
    </row>
    <row r="17" spans="2:31" ht="11.25" hidden="1" customHeight="1">
      <c r="D17" s="1">
        <v>40</v>
      </c>
    </row>
    <row r="18" spans="2:31" ht="11.25" hidden="1" customHeight="1">
      <c r="D18" s="1">
        <v>40</v>
      </c>
    </row>
    <row r="19" spans="2:31" ht="11.25" hidden="1" customHeight="1">
      <c r="D19" s="1">
        <v>40</v>
      </c>
    </row>
    <row r="20" spans="2:31" ht="18" customHeight="1">
      <c r="D20" s="1">
        <v>24</v>
      </c>
    </row>
    <row r="21" spans="2:31" ht="42" customHeight="1">
      <c r="D21" s="1">
        <v>56</v>
      </c>
      <c r="AB21" s="793" t="str">
        <f>ORG</f>
        <v>МУП "Горэлектросети"</v>
      </c>
      <c r="AC21" s="793"/>
      <c r="AD21" s="793"/>
    </row>
    <row r="22" spans="2:31" ht="24" customHeight="1">
      <c r="D22" s="1">
        <v>32</v>
      </c>
      <c r="AB22" s="792" t="s">
        <v>525</v>
      </c>
      <c r="AC22" s="792"/>
      <c r="AD22" s="792"/>
    </row>
    <row r="23" spans="2:31" ht="13.5" customHeight="1">
      <c r="D23" s="1">
        <v>18</v>
      </c>
      <c r="AB23" s="41"/>
      <c r="AC23" s="791"/>
      <c r="AD23" s="791"/>
    </row>
    <row r="24" spans="2:31" ht="18" customHeight="1">
      <c r="D24" s="1">
        <v>24</v>
      </c>
      <c r="AB24" s="42" t="s">
        <v>509</v>
      </c>
      <c r="AC24" s="43" t="s">
        <v>526</v>
      </c>
      <c r="AD24" s="43" t="s">
        <v>527</v>
      </c>
    </row>
    <row r="25" spans="2:31" ht="2.25" hidden="1" customHeight="1">
      <c r="D25" s="1">
        <v>0</v>
      </c>
      <c r="AB25" s="44"/>
      <c r="AC25" s="45"/>
      <c r="AD25" s="46"/>
    </row>
    <row r="26" spans="2:31" ht="18" customHeight="1">
      <c r="D26" s="1">
        <v>24</v>
      </c>
      <c r="AB26" s="47" t="s">
        <v>528</v>
      </c>
      <c r="AC26" s="48" t="s">
        <v>529</v>
      </c>
      <c r="AD26" s="35"/>
    </row>
    <row r="27" spans="2:31" ht="18" customHeight="1">
      <c r="D27" s="1">
        <v>24</v>
      </c>
      <c r="AB27" s="47" t="s">
        <v>530</v>
      </c>
      <c r="AC27" s="48" t="s">
        <v>531</v>
      </c>
      <c r="AD27" s="35"/>
    </row>
    <row r="28" spans="2:31" ht="18" customHeight="1">
      <c r="D28" s="1">
        <v>24</v>
      </c>
      <c r="AB28" s="47" t="s">
        <v>532</v>
      </c>
      <c r="AC28" s="48" t="s">
        <v>533</v>
      </c>
      <c r="AD28" s="49"/>
    </row>
    <row r="29" spans="2:31" ht="18" customHeight="1">
      <c r="D29" s="1">
        <v>24</v>
      </c>
      <c r="AB29" s="47" t="s">
        <v>534</v>
      </c>
      <c r="AC29" s="48" t="s">
        <v>535</v>
      </c>
      <c r="AD29" s="35"/>
    </row>
    <row r="30" spans="2:31" ht="18" customHeight="1">
      <c r="D30" s="1">
        <v>24</v>
      </c>
      <c r="AB30" s="47" t="s">
        <v>536</v>
      </c>
      <c r="AC30" s="48" t="s">
        <v>537</v>
      </c>
      <c r="AD30" s="35"/>
    </row>
    <row r="31" spans="2:31" ht="15" hidden="1" customHeight="1">
      <c r="B31" s="29" t="b">
        <f>AB31&lt;&gt;$AB$31</f>
        <v>0</v>
      </c>
      <c r="D31" s="29">
        <v>24</v>
      </c>
      <c r="AA31" s="50" t="s">
        <v>517</v>
      </c>
      <c r="AB31" s="51" t="s">
        <v>538</v>
      </c>
      <c r="AC31" s="52"/>
      <c r="AD31" s="53"/>
      <c r="AE31" t="s">
        <v>539</v>
      </c>
    </row>
    <row r="32" spans="2:31" ht="18" customHeight="1">
      <c r="D32" s="1">
        <v>24</v>
      </c>
      <c r="AB32" s="54"/>
      <c r="AC32" s="55" t="s">
        <v>540</v>
      </c>
      <c r="AD32" s="56"/>
    </row>
    <row r="33" spans="2:32" ht="18" customHeight="1">
      <c r="D33" s="1">
        <v>24</v>
      </c>
      <c r="AB33" s="47" t="s">
        <v>541</v>
      </c>
      <c r="AC33" s="48" t="s">
        <v>542</v>
      </c>
      <c r="AD33" s="57"/>
    </row>
    <row r="34" spans="2:32" ht="18" customHeight="1">
      <c r="D34" s="1">
        <v>24</v>
      </c>
      <c r="AB34" s="47" t="s">
        <v>543</v>
      </c>
      <c r="AC34" s="48" t="s">
        <v>531</v>
      </c>
      <c r="AD34" s="58"/>
    </row>
    <row r="35" spans="2:32" ht="15" hidden="1" customHeight="1">
      <c r="B35" s="29" t="b">
        <f>AB35&lt;&gt;$AB$35</f>
        <v>0</v>
      </c>
      <c r="D35" s="29">
        <v>24</v>
      </c>
      <c r="AA35" s="50" t="s">
        <v>517</v>
      </c>
      <c r="AB35" s="47" t="s">
        <v>543</v>
      </c>
      <c r="AC35" s="52"/>
      <c r="AD35" s="53"/>
      <c r="AE35" t="s">
        <v>539</v>
      </c>
    </row>
    <row r="36" spans="2:32" ht="18" customHeight="1">
      <c r="D36" s="1">
        <v>24</v>
      </c>
      <c r="AB36" s="54"/>
      <c r="AC36" s="55" t="s">
        <v>540</v>
      </c>
      <c r="AD36" s="56"/>
    </row>
    <row r="37" spans="2:32" ht="11.25" hidden="1" customHeight="1">
      <c r="D37">
        <v>0</v>
      </c>
      <c r="AF37" t="s">
        <v>42</v>
      </c>
    </row>
  </sheetData>
  <sheetProtection insertRows="0" deleteColumns="0" deleteRows="0" sort="0" autoFilter="0"/>
  <mergeCells count="3">
    <mergeCell ref="AC23:AD23"/>
    <mergeCell ref="AB22:AD22"/>
    <mergeCell ref="AB21:AD2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AK142"/>
  <sheetViews>
    <sheetView showGridLines="0" tabSelected="1" topLeftCell="AA20" workbookViewId="0">
      <selection activeCell="AD145" sqref="AD145"/>
    </sheetView>
  </sheetViews>
  <sheetFormatPr defaultColWidth="9.140625" defaultRowHeight="11.45" customHeight="1" outlineLevelRow="1"/>
  <cols>
    <col min="1" max="1" width="9.140625" hidden="1"/>
    <col min="2" max="2" width="7" hidden="1" customWidth="1"/>
    <col min="3" max="3" width="9.140625" hidden="1"/>
    <col min="4" max="4" width="3.28515625" hidden="1" customWidth="1"/>
    <col min="5" max="8" width="15.7109375" hidden="1" customWidth="1"/>
    <col min="9" max="9" width="33.7109375" hidden="1" customWidth="1"/>
    <col min="10" max="10" width="5.28515625" hidden="1" customWidth="1"/>
    <col min="11" max="11" width="15.42578125" hidden="1" customWidth="1"/>
    <col min="12" max="25" width="2.140625" hidden="1" customWidth="1"/>
    <col min="26" max="26" width="15.7109375" hidden="1" customWidth="1"/>
    <col min="27" max="28" width="6.85546875" customWidth="1"/>
    <col min="29" max="29" width="43.42578125" customWidth="1"/>
    <col min="30" max="30" width="14.85546875" customWidth="1"/>
    <col min="31" max="32" width="21.7109375" customWidth="1"/>
    <col min="33" max="35" width="20.5703125" customWidth="1"/>
    <col min="36" max="36" width="17.140625" customWidth="1"/>
    <col min="37" max="37" width="9.140625" hidden="1"/>
  </cols>
  <sheetData>
    <row r="1" spans="4:37" ht="11.25" hidden="1" customHeight="1"/>
    <row r="2" spans="4:37" ht="15" hidden="1" customHeight="1"/>
    <row r="3" spans="4:37" ht="15" hidden="1" customHeight="1"/>
    <row r="4" spans="4:37" ht="1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48</v>
      </c>
      <c r="AC4" s="1">
        <v>304</v>
      </c>
      <c r="AD4" s="1">
        <v>104</v>
      </c>
      <c r="AE4" s="1">
        <v>152</v>
      </c>
      <c r="AF4" s="1">
        <v>152</v>
      </c>
      <c r="AG4" s="1">
        <v>144</v>
      </c>
      <c r="AH4" s="1">
        <v>144</v>
      </c>
      <c r="AI4" s="1">
        <v>144</v>
      </c>
      <c r="AJ4" s="1">
        <v>120</v>
      </c>
      <c r="AK4" s="2">
        <v>0</v>
      </c>
    </row>
    <row r="5" spans="4:37" ht="15" hidden="1" customHeight="1">
      <c r="D5" s="1">
        <v>40</v>
      </c>
      <c r="E5" s="1" t="s">
        <v>319</v>
      </c>
      <c r="H5" s="15" t="s">
        <v>320</v>
      </c>
      <c r="I5" s="15" t="s">
        <v>321</v>
      </c>
      <c r="J5" s="15" t="s">
        <v>322</v>
      </c>
      <c r="K5" s="15" t="s">
        <v>546</v>
      </c>
    </row>
    <row r="6" spans="4:37" ht="15" hidden="1" customHeight="1">
      <c r="D6" s="1">
        <v>40</v>
      </c>
      <c r="E6" s="15" t="s">
        <v>579</v>
      </c>
      <c r="F6" s="1" t="s">
        <v>580</v>
      </c>
      <c r="H6" s="15" t="s">
        <v>320</v>
      </c>
      <c r="I6" s="15" t="s">
        <v>321</v>
      </c>
      <c r="J6" s="15" t="s">
        <v>322</v>
      </c>
      <c r="K6" s="15" t="s">
        <v>546</v>
      </c>
    </row>
    <row r="7" spans="4:37" ht="15" hidden="1" customHeight="1">
      <c r="D7" s="1">
        <v>40</v>
      </c>
      <c r="E7" s="15" t="s">
        <v>581</v>
      </c>
      <c r="F7" s="15" t="s">
        <v>581</v>
      </c>
      <c r="G7" s="1" t="s">
        <v>582</v>
      </c>
      <c r="H7" s="15" t="s">
        <v>320</v>
      </c>
      <c r="I7" s="15" t="s">
        <v>321</v>
      </c>
      <c r="J7" s="15" t="s">
        <v>322</v>
      </c>
      <c r="K7" s="15" t="s">
        <v>546</v>
      </c>
    </row>
    <row r="8" spans="4:37" ht="15" hidden="1" customHeight="1">
      <c r="D8" s="1">
        <v>40</v>
      </c>
      <c r="F8" s="15" t="s">
        <v>579</v>
      </c>
      <c r="AE8" s="63" t="s">
        <v>583</v>
      </c>
      <c r="AF8" s="63" t="s">
        <v>584</v>
      </c>
      <c r="AG8" s="63" t="s">
        <v>585</v>
      </c>
    </row>
    <row r="9" spans="4:37" ht="15" hidden="1" customHeight="1">
      <c r="D9" s="1">
        <v>40</v>
      </c>
      <c r="G9" s="15" t="s">
        <v>579</v>
      </c>
      <c r="AE9" s="63" t="s">
        <v>583</v>
      </c>
      <c r="AF9" s="63" t="s">
        <v>583</v>
      </c>
      <c r="AG9" s="63" t="s">
        <v>584</v>
      </c>
      <c r="AH9" s="63" t="s">
        <v>584</v>
      </c>
      <c r="AI9" s="63" t="s">
        <v>585</v>
      </c>
      <c r="AJ9" s="63" t="s">
        <v>585</v>
      </c>
    </row>
    <row r="10" spans="4:37" ht="15" hidden="1" customHeight="1">
      <c r="D10" s="1">
        <v>40</v>
      </c>
      <c r="G10" s="15" t="s">
        <v>581</v>
      </c>
      <c r="AE10" s="63" t="s">
        <v>586</v>
      </c>
      <c r="AF10" s="63" t="s">
        <v>587</v>
      </c>
      <c r="AG10" s="63" t="s">
        <v>586</v>
      </c>
      <c r="AH10" s="63" t="s">
        <v>587</v>
      </c>
      <c r="AI10" s="63" t="s">
        <v>586</v>
      </c>
      <c r="AJ10" s="63" t="s">
        <v>587</v>
      </c>
    </row>
    <row r="11" spans="4:37" ht="15" hidden="1" customHeight="1">
      <c r="D11" s="1">
        <v>40</v>
      </c>
    </row>
    <row r="12" spans="4:37" ht="15" hidden="1" customHeight="1">
      <c r="D12" s="1">
        <v>40</v>
      </c>
    </row>
    <row r="13" spans="4:37" ht="15" hidden="1" customHeight="1">
      <c r="D13" s="1">
        <v>40</v>
      </c>
    </row>
    <row r="14" spans="4:37" ht="15" hidden="1" customHeight="1">
      <c r="D14" s="1">
        <v>40</v>
      </c>
    </row>
    <row r="15" spans="4:37" ht="15" hidden="1" customHeight="1">
      <c r="D15" s="1">
        <v>40</v>
      </c>
    </row>
    <row r="16" spans="4:37" ht="15" hidden="1" customHeight="1">
      <c r="D16" s="1">
        <v>40</v>
      </c>
    </row>
    <row r="17" spans="4:33" ht="15" hidden="1" customHeight="1">
      <c r="D17" s="1">
        <v>40</v>
      </c>
    </row>
    <row r="18" spans="4:33" ht="15" hidden="1" customHeight="1">
      <c r="D18" s="1">
        <v>40</v>
      </c>
    </row>
    <row r="19" spans="4:33" ht="21.75" hidden="1" customHeight="1">
      <c r="D19" s="1">
        <v>40</v>
      </c>
    </row>
    <row r="20" spans="4:33" ht="30" customHeight="1">
      <c r="D20" s="1">
        <v>40</v>
      </c>
    </row>
    <row r="21" spans="4:33" ht="13.5" customHeight="1">
      <c r="D21" s="1">
        <v>18</v>
      </c>
      <c r="AB21" s="795" t="s">
        <v>588</v>
      </c>
      <c r="AC21" s="781"/>
      <c r="AD21" s="781"/>
      <c r="AE21" s="781"/>
      <c r="AF21" s="781"/>
    </row>
    <row r="22" spans="4:33" ht="13.5" customHeight="1">
      <c r="D22" s="1">
        <v>18</v>
      </c>
      <c r="AB22" s="795" t="s">
        <v>589</v>
      </c>
      <c r="AC22" s="781"/>
      <c r="AD22" s="781"/>
      <c r="AE22" s="781"/>
      <c r="AF22" s="781"/>
    </row>
    <row r="23" spans="4:33" ht="13.5" customHeight="1">
      <c r="D23" s="1">
        <v>18</v>
      </c>
      <c r="AB23" s="795" t="s">
        <v>3013</v>
      </c>
      <c r="AC23" s="781"/>
      <c r="AD23" s="781"/>
      <c r="AE23" s="781"/>
      <c r="AF23" s="781"/>
    </row>
    <row r="24" spans="4:33" ht="13.5" customHeight="1">
      <c r="D24" s="1">
        <v>18</v>
      </c>
      <c r="AB24" s="795" t="s">
        <v>590</v>
      </c>
      <c r="AC24" s="781"/>
      <c r="AD24" s="781"/>
      <c r="AE24" s="781"/>
      <c r="AF24" s="781"/>
    </row>
    <row r="25" spans="4:33" ht="13.5" customHeight="1">
      <c r="D25" s="1">
        <v>18</v>
      </c>
    </row>
    <row r="26" spans="4:33" ht="13.5" customHeight="1">
      <c r="D26" s="1">
        <v>18</v>
      </c>
      <c r="AB26" s="794" t="s">
        <v>330</v>
      </c>
      <c r="AC26" s="794"/>
      <c r="AD26" s="794"/>
      <c r="AE26" s="794"/>
      <c r="AF26" s="794"/>
    </row>
    <row r="27" spans="4:33" ht="13.5" customHeight="1">
      <c r="D27" s="1">
        <v>18</v>
      </c>
      <c r="AB27" s="807" t="s">
        <v>591</v>
      </c>
      <c r="AC27" s="781"/>
      <c r="AD27" s="781"/>
      <c r="AE27" s="781"/>
      <c r="AF27" s="781"/>
    </row>
    <row r="28" spans="4:33" ht="13.5" customHeight="1">
      <c r="D28" s="1">
        <v>18</v>
      </c>
    </row>
    <row r="29" spans="4:33" ht="24" customHeight="1">
      <c r="D29" s="1">
        <v>32</v>
      </c>
      <c r="AB29" s="806" t="s">
        <v>592</v>
      </c>
      <c r="AC29" s="806"/>
      <c r="AD29" s="806"/>
      <c r="AE29" s="806"/>
      <c r="AF29" s="806"/>
      <c r="AG29" s="806"/>
    </row>
    <row r="30" spans="4:33" ht="13.5" customHeight="1">
      <c r="D30" s="1">
        <v>18</v>
      </c>
    </row>
    <row r="31" spans="4:33" ht="13.5" customHeight="1">
      <c r="D31" s="1">
        <v>18</v>
      </c>
      <c r="H31" s="15" t="s">
        <v>593</v>
      </c>
      <c r="I31" s="15" t="s">
        <v>594</v>
      </c>
      <c r="J31" s="15" t="s">
        <v>324</v>
      </c>
      <c r="K31" s="15" t="s">
        <v>547</v>
      </c>
      <c r="AB31" s="796" t="s">
        <v>594</v>
      </c>
      <c r="AC31" s="796"/>
      <c r="AD31" s="809" t="s">
        <v>330</v>
      </c>
      <c r="AE31" s="810"/>
      <c r="AF31" s="810"/>
      <c r="AG31" s="811"/>
    </row>
    <row r="32" spans="4:33" ht="13.5" customHeight="1">
      <c r="D32" s="1">
        <v>18</v>
      </c>
      <c r="AB32" s="796"/>
      <c r="AC32" s="796"/>
      <c r="AD32" s="812"/>
      <c r="AE32" s="813"/>
      <c r="AF32" s="813"/>
      <c r="AG32" s="814"/>
    </row>
    <row r="33" spans="4:33" ht="13.5" customHeight="1">
      <c r="D33" s="1">
        <v>18</v>
      </c>
      <c r="H33" s="15" t="s">
        <v>595</v>
      </c>
      <c r="I33" s="15" t="s">
        <v>596</v>
      </c>
      <c r="J33" s="15" t="s">
        <v>324</v>
      </c>
      <c r="K33" s="15" t="s">
        <v>547</v>
      </c>
      <c r="AB33" s="796" t="s">
        <v>596</v>
      </c>
      <c r="AC33" s="796"/>
      <c r="AD33" s="808" t="s">
        <v>330</v>
      </c>
      <c r="AE33" s="808"/>
      <c r="AF33" s="808"/>
      <c r="AG33" s="808"/>
    </row>
    <row r="34" spans="4:33" ht="33.75" customHeight="1">
      <c r="D34" s="1">
        <v>45</v>
      </c>
      <c r="H34" s="15" t="s">
        <v>597</v>
      </c>
      <c r="I34" s="15" t="s">
        <v>598</v>
      </c>
      <c r="J34" s="15" t="s">
        <v>324</v>
      </c>
      <c r="K34" s="15" t="s">
        <v>547</v>
      </c>
      <c r="AB34" s="796" t="s">
        <v>598</v>
      </c>
      <c r="AC34" s="796"/>
      <c r="AD34" s="799" t="s">
        <v>386</v>
      </c>
      <c r="AE34" s="800"/>
      <c r="AF34" s="800"/>
      <c r="AG34" s="801"/>
    </row>
    <row r="35" spans="4:33" ht="33.75" customHeight="1">
      <c r="D35" s="1">
        <v>45</v>
      </c>
      <c r="H35" s="15" t="s">
        <v>599</v>
      </c>
      <c r="I35" s="15" t="s">
        <v>600</v>
      </c>
      <c r="J35" s="15" t="s">
        <v>324</v>
      </c>
      <c r="K35" s="15" t="s">
        <v>547</v>
      </c>
      <c r="AB35" s="796" t="s">
        <v>600</v>
      </c>
      <c r="AC35" s="796"/>
      <c r="AD35" s="799" t="s">
        <v>386</v>
      </c>
      <c r="AE35" s="800"/>
      <c r="AF35" s="800"/>
      <c r="AG35" s="801"/>
    </row>
    <row r="36" spans="4:33" ht="13.5" customHeight="1">
      <c r="D36" s="1">
        <v>18</v>
      </c>
      <c r="H36" s="15" t="s">
        <v>336</v>
      </c>
      <c r="I36" s="15" t="s">
        <v>337</v>
      </c>
      <c r="J36" s="15" t="s">
        <v>324</v>
      </c>
      <c r="K36" s="15" t="s">
        <v>547</v>
      </c>
      <c r="AB36" s="796" t="s">
        <v>337</v>
      </c>
      <c r="AC36" s="796"/>
      <c r="AD36" s="802" t="s">
        <v>338</v>
      </c>
      <c r="AE36" s="803"/>
      <c r="AF36" s="803"/>
      <c r="AG36" s="804"/>
    </row>
    <row r="37" spans="4:33" ht="13.5" customHeight="1">
      <c r="D37" s="1">
        <v>18</v>
      </c>
      <c r="H37" s="15" t="s">
        <v>339</v>
      </c>
      <c r="I37" s="15" t="s">
        <v>340</v>
      </c>
      <c r="J37" s="15" t="s">
        <v>324</v>
      </c>
      <c r="K37" s="15" t="s">
        <v>547</v>
      </c>
      <c r="AB37" s="796" t="s">
        <v>340</v>
      </c>
      <c r="AC37" s="796"/>
      <c r="AD37" s="802" t="s">
        <v>341</v>
      </c>
      <c r="AE37" s="803"/>
      <c r="AF37" s="803"/>
      <c r="AG37" s="804"/>
    </row>
    <row r="38" spans="4:33" ht="13.5" customHeight="1">
      <c r="D38" s="1">
        <v>18</v>
      </c>
      <c r="H38" s="15" t="s">
        <v>601</v>
      </c>
      <c r="I38" s="15" t="s">
        <v>602</v>
      </c>
      <c r="J38" s="15" t="s">
        <v>324</v>
      </c>
      <c r="K38" s="15" t="s">
        <v>547</v>
      </c>
      <c r="AB38" s="796" t="s">
        <v>602</v>
      </c>
      <c r="AC38" s="796"/>
      <c r="AD38" s="802" t="s">
        <v>393</v>
      </c>
      <c r="AE38" s="803"/>
      <c r="AF38" s="803"/>
      <c r="AG38" s="804"/>
    </row>
    <row r="39" spans="4:33" ht="13.5" customHeight="1">
      <c r="D39" s="1">
        <v>18</v>
      </c>
      <c r="H39" s="15" t="s">
        <v>603</v>
      </c>
      <c r="I39" s="15" t="s">
        <v>604</v>
      </c>
      <c r="J39" s="15" t="s">
        <v>324</v>
      </c>
      <c r="K39" s="15" t="s">
        <v>547</v>
      </c>
      <c r="AB39" s="796" t="s">
        <v>604</v>
      </c>
      <c r="AC39" s="796"/>
      <c r="AD39" s="799" t="s">
        <v>419</v>
      </c>
      <c r="AE39" s="800"/>
      <c r="AF39" s="800"/>
      <c r="AG39" s="801"/>
    </row>
    <row r="40" spans="4:33" ht="13.5" customHeight="1">
      <c r="D40" s="1">
        <v>18</v>
      </c>
      <c r="H40" s="15" t="s">
        <v>605</v>
      </c>
      <c r="I40" s="15" t="s">
        <v>415</v>
      </c>
      <c r="J40" s="15" t="s">
        <v>324</v>
      </c>
      <c r="K40" s="15" t="s">
        <v>547</v>
      </c>
      <c r="AB40" s="796" t="s">
        <v>415</v>
      </c>
      <c r="AC40" s="796"/>
      <c r="AD40" s="799" t="s">
        <v>397</v>
      </c>
      <c r="AE40" s="800"/>
      <c r="AF40" s="800"/>
      <c r="AG40" s="801"/>
    </row>
    <row r="41" spans="4:33" ht="11.25" hidden="1" customHeight="1">
      <c r="D41" s="1">
        <v>0</v>
      </c>
      <c r="AB41" s="797" t="s">
        <v>606</v>
      </c>
      <c r="AC41" s="797"/>
      <c r="AD41" s="805"/>
      <c r="AE41" s="805"/>
      <c r="AF41" s="805"/>
      <c r="AG41" s="805"/>
    </row>
    <row r="42" spans="4:33" ht="5.25" customHeight="1">
      <c r="D42" s="1">
        <v>7</v>
      </c>
    </row>
    <row r="43" spans="4:33" ht="4.5" hidden="1" customHeight="1">
      <c r="D43" s="1">
        <v>0</v>
      </c>
    </row>
    <row r="44" spans="4:33" ht="23.25" customHeight="1">
      <c r="D44" s="1">
        <v>31</v>
      </c>
      <c r="AB44" s="806" t="s">
        <v>607</v>
      </c>
      <c r="AC44" s="806"/>
      <c r="AD44" s="806"/>
      <c r="AE44" s="806"/>
      <c r="AF44" s="806"/>
      <c r="AG44" s="806"/>
    </row>
    <row r="45" spans="4:33" ht="3" customHeight="1">
      <c r="D45" s="1">
        <v>4</v>
      </c>
    </row>
    <row r="46" spans="4:33" ht="54" customHeight="1">
      <c r="D46" s="1">
        <v>72</v>
      </c>
      <c r="AB46" s="798" t="s">
        <v>608</v>
      </c>
      <c r="AC46" s="798"/>
      <c r="AD46" s="66" t="s">
        <v>609</v>
      </c>
      <c r="AE46" s="66" t="s">
        <v>610</v>
      </c>
      <c r="AF46" s="66" t="s">
        <v>611</v>
      </c>
      <c r="AG46" s="66" t="s">
        <v>612</v>
      </c>
    </row>
    <row r="47" spans="4:33" ht="30" customHeight="1">
      <c r="D47" s="1">
        <v>40</v>
      </c>
      <c r="AB47" s="819" t="s">
        <v>613</v>
      </c>
      <c r="AC47" s="819"/>
      <c r="AD47" s="819"/>
      <c r="AE47" s="819"/>
      <c r="AF47" s="819"/>
      <c r="AG47" s="819"/>
    </row>
    <row r="48" spans="4:33" ht="27.75" customHeight="1">
      <c r="D48" s="1">
        <v>37</v>
      </c>
      <c r="AB48" s="67">
        <v>1</v>
      </c>
      <c r="AC48" s="68" t="s">
        <v>614</v>
      </c>
      <c r="AD48" s="68"/>
      <c r="AE48" s="68"/>
      <c r="AF48" s="68"/>
      <c r="AG48" s="69"/>
    </row>
    <row r="49" spans="4:33" ht="13.5" customHeight="1">
      <c r="D49" s="1">
        <v>18</v>
      </c>
      <c r="H49" s="15" t="s">
        <v>615</v>
      </c>
      <c r="I49" s="15" t="s">
        <v>616</v>
      </c>
      <c r="J49" s="15" t="s">
        <v>617</v>
      </c>
      <c r="K49" s="15" t="s">
        <v>547</v>
      </c>
      <c r="AB49" s="70" t="s">
        <v>618</v>
      </c>
      <c r="AC49" s="71" t="s">
        <v>616</v>
      </c>
      <c r="AD49" s="70" t="s">
        <v>619</v>
      </c>
      <c r="AE49" s="72">
        <v>204788</v>
      </c>
      <c r="AF49" s="72">
        <v>243088.06312040801</v>
      </c>
      <c r="AG49" s="72">
        <v>414339.1985213359</v>
      </c>
    </row>
    <row r="50" spans="4:33" ht="13.5" customHeight="1">
      <c r="D50" s="1">
        <v>18</v>
      </c>
      <c r="H50" s="15" t="s">
        <v>620</v>
      </c>
      <c r="I50" s="15" t="s">
        <v>621</v>
      </c>
      <c r="J50" s="15" t="s">
        <v>617</v>
      </c>
      <c r="K50" s="15" t="s">
        <v>547</v>
      </c>
      <c r="AB50" s="66" t="s">
        <v>622</v>
      </c>
      <c r="AC50" s="64" t="s">
        <v>621</v>
      </c>
      <c r="AD50" s="66" t="s">
        <v>619</v>
      </c>
      <c r="AE50" s="72">
        <v>-23896</v>
      </c>
      <c r="AF50" s="72">
        <v>15100</v>
      </c>
      <c r="AG50" s="72">
        <v>24000</v>
      </c>
    </row>
    <row r="51" spans="4:33" ht="27.75" customHeight="1">
      <c r="D51" s="1">
        <v>37</v>
      </c>
      <c r="H51" s="15" t="s">
        <v>623</v>
      </c>
      <c r="I51" s="15" t="s">
        <v>624</v>
      </c>
      <c r="J51" s="15" t="s">
        <v>617</v>
      </c>
      <c r="K51" s="15" t="s">
        <v>547</v>
      </c>
      <c r="AB51" s="66" t="s">
        <v>625</v>
      </c>
      <c r="AC51" s="64" t="s">
        <v>624</v>
      </c>
      <c r="AD51" s="66" t="s">
        <v>619</v>
      </c>
      <c r="AE51" s="72">
        <v>75061</v>
      </c>
      <c r="AF51" s="72">
        <v>41320</v>
      </c>
      <c r="AG51" s="72">
        <v>65392.442110000004</v>
      </c>
    </row>
    <row r="52" spans="4:33" ht="13.5" customHeight="1">
      <c r="D52" s="1">
        <v>18</v>
      </c>
      <c r="H52" s="15" t="s">
        <v>626</v>
      </c>
      <c r="I52" s="15" t="s">
        <v>627</v>
      </c>
      <c r="J52" s="15" t="s">
        <v>617</v>
      </c>
      <c r="K52" s="15" t="s">
        <v>547</v>
      </c>
      <c r="AB52" s="66" t="s">
        <v>628</v>
      </c>
      <c r="AC52" s="64" t="s">
        <v>627</v>
      </c>
      <c r="AD52" s="66" t="s">
        <v>619</v>
      </c>
      <c r="AE52" s="72">
        <v>-32226</v>
      </c>
      <c r="AF52" s="72">
        <v>12080</v>
      </c>
      <c r="AG52" s="72">
        <v>18000</v>
      </c>
    </row>
    <row r="53" spans="4:33" ht="13.5" customHeight="1">
      <c r="D53" s="1">
        <v>18</v>
      </c>
      <c r="AB53" s="67" t="s">
        <v>530</v>
      </c>
      <c r="AC53" s="68" t="s">
        <v>629</v>
      </c>
      <c r="AD53" s="73"/>
      <c r="AE53" s="68"/>
      <c r="AF53" s="68"/>
      <c r="AG53" s="69"/>
    </row>
    <row r="54" spans="4:33" ht="69" customHeight="1">
      <c r="D54" s="1">
        <v>92</v>
      </c>
      <c r="H54" s="15" t="s">
        <v>630</v>
      </c>
      <c r="I54" s="15" t="s">
        <v>631</v>
      </c>
      <c r="J54" s="15" t="s">
        <v>617</v>
      </c>
      <c r="K54" s="15" t="s">
        <v>547</v>
      </c>
      <c r="AB54" s="66" t="s">
        <v>632</v>
      </c>
      <c r="AC54" s="64" t="s">
        <v>631</v>
      </c>
      <c r="AD54" s="66" t="s">
        <v>633</v>
      </c>
      <c r="AE54" s="74">
        <v>-0.11668652460105085</v>
      </c>
      <c r="AF54" s="74">
        <v>6.2117406367751454E-2</v>
      </c>
      <c r="AG54" s="74">
        <v>5.7923556558610638E-2</v>
      </c>
    </row>
    <row r="55" spans="4:33" ht="27.75" customHeight="1">
      <c r="D55" s="1">
        <v>37</v>
      </c>
      <c r="AB55" s="67" t="s">
        <v>532</v>
      </c>
      <c r="AC55" s="68" t="s">
        <v>634</v>
      </c>
      <c r="AD55" s="73"/>
      <c r="AE55" s="68"/>
      <c r="AF55" s="68"/>
      <c r="AG55" s="69"/>
    </row>
    <row r="56" spans="4:33" ht="13.5" customHeight="1">
      <c r="D56" s="1">
        <v>18</v>
      </c>
      <c r="H56" s="15" t="s">
        <v>635</v>
      </c>
      <c r="I56" s="15" t="s">
        <v>636</v>
      </c>
      <c r="J56" s="15" t="s">
        <v>617</v>
      </c>
      <c r="K56" s="15" t="s">
        <v>547</v>
      </c>
      <c r="AB56" s="66" t="s">
        <v>637</v>
      </c>
      <c r="AC56" s="64" t="s">
        <v>638</v>
      </c>
      <c r="AD56" s="66" t="s">
        <v>639</v>
      </c>
      <c r="AE56" s="75">
        <v>20.445544166666668</v>
      </c>
      <c r="AF56" s="75">
        <v>19.328436699999997</v>
      </c>
      <c r="AG56" s="75">
        <v>22.012028291666667</v>
      </c>
    </row>
    <row r="57" spans="4:33" ht="27.75" customHeight="1">
      <c r="D57" s="1">
        <v>37</v>
      </c>
      <c r="H57" s="15" t="s">
        <v>640</v>
      </c>
      <c r="I57" s="15" t="s">
        <v>641</v>
      </c>
      <c r="J57" s="15" t="s">
        <v>617</v>
      </c>
      <c r="K57" s="15" t="s">
        <v>547</v>
      </c>
      <c r="AB57" s="66" t="s">
        <v>642</v>
      </c>
      <c r="AC57" s="64" t="s">
        <v>643</v>
      </c>
      <c r="AD57" s="66" t="s">
        <v>644</v>
      </c>
      <c r="AE57" s="75">
        <v>151626.3107</v>
      </c>
      <c r="AF57" s="75">
        <v>148655.30000000002</v>
      </c>
      <c r="AG57" s="75">
        <v>159471.18299999999</v>
      </c>
    </row>
    <row r="58" spans="4:33" ht="41.25" customHeight="1">
      <c r="D58" s="1">
        <v>55</v>
      </c>
      <c r="H58" s="15" t="s">
        <v>645</v>
      </c>
      <c r="I58" s="15" t="s">
        <v>646</v>
      </c>
      <c r="J58" s="15" t="s">
        <v>617</v>
      </c>
      <c r="K58" s="15" t="s">
        <v>547</v>
      </c>
      <c r="AB58" s="66" t="s">
        <v>647</v>
      </c>
      <c r="AC58" s="64" t="s">
        <v>648</v>
      </c>
      <c r="AD58" s="66" t="s">
        <v>649</v>
      </c>
      <c r="AE58" s="75">
        <v>72154.929999999993</v>
      </c>
      <c r="AF58" s="75">
        <v>70538.83</v>
      </c>
      <c r="AG58" s="75">
        <v>73598.028599999991</v>
      </c>
    </row>
    <row r="59" spans="4:33" ht="13.5" customHeight="1">
      <c r="D59" s="1">
        <v>18</v>
      </c>
      <c r="H59" s="15" t="s">
        <v>650</v>
      </c>
      <c r="I59" s="15" t="s">
        <v>651</v>
      </c>
      <c r="J59" s="15" t="s">
        <v>617</v>
      </c>
      <c r="K59" s="15" t="s">
        <v>547</v>
      </c>
      <c r="AB59" s="66" t="s">
        <v>652</v>
      </c>
      <c r="AC59" s="64" t="s">
        <v>653</v>
      </c>
      <c r="AD59" s="66" t="s">
        <v>633</v>
      </c>
      <c r="AE59" s="75">
        <v>11.195567907355423</v>
      </c>
      <c r="AF59" s="75">
        <v>12.644602845339742</v>
      </c>
      <c r="AG59" s="75">
        <v>11.195567538418977</v>
      </c>
    </row>
    <row r="60" spans="4:33" ht="88.5" customHeight="1">
      <c r="D60" s="1">
        <v>55</v>
      </c>
      <c r="H60" s="15" t="s">
        <v>654</v>
      </c>
      <c r="I60" s="15" t="s">
        <v>655</v>
      </c>
      <c r="J60" s="15" t="s">
        <v>324</v>
      </c>
      <c r="K60" s="15" t="s">
        <v>547</v>
      </c>
      <c r="AB60" s="66" t="s">
        <v>656</v>
      </c>
      <c r="AC60" s="64" t="s">
        <v>657</v>
      </c>
      <c r="AD60" s="66"/>
      <c r="AE60" s="76" t="s">
        <v>658</v>
      </c>
      <c r="AF60" s="76" t="s">
        <v>658</v>
      </c>
      <c r="AG60" s="76" t="s">
        <v>659</v>
      </c>
    </row>
    <row r="61" spans="4:33" ht="45.75" customHeight="1">
      <c r="D61" s="1">
        <v>61</v>
      </c>
      <c r="H61" s="15" t="s">
        <v>660</v>
      </c>
      <c r="I61" s="15" t="s">
        <v>661</v>
      </c>
      <c r="J61" s="15" t="s">
        <v>617</v>
      </c>
      <c r="K61" s="15" t="s">
        <v>547</v>
      </c>
      <c r="AB61" s="66" t="s">
        <v>534</v>
      </c>
      <c r="AC61" s="64" t="s">
        <v>662</v>
      </c>
      <c r="AD61" s="66" t="s">
        <v>619</v>
      </c>
      <c r="AE61" s="75">
        <v>270478.79824158322</v>
      </c>
      <c r="AF61" s="75">
        <v>243088.06312040801</v>
      </c>
      <c r="AG61" s="75">
        <v>414339.1985213359</v>
      </c>
    </row>
    <row r="62" spans="4:33" ht="75" customHeight="1">
      <c r="D62" s="1">
        <v>100</v>
      </c>
      <c r="H62" s="15" t="s">
        <v>663</v>
      </c>
      <c r="I62" s="15" t="s">
        <v>664</v>
      </c>
      <c r="J62" s="15" t="s">
        <v>617</v>
      </c>
      <c r="K62" s="15" t="s">
        <v>547</v>
      </c>
      <c r="AB62" s="66" t="s">
        <v>665</v>
      </c>
      <c r="AC62" s="64" t="s">
        <v>666</v>
      </c>
      <c r="AD62" s="66" t="s">
        <v>619</v>
      </c>
      <c r="AE62" s="75">
        <v>95097.77467047167</v>
      </c>
      <c r="AF62" s="75">
        <v>89693.265664000006</v>
      </c>
      <c r="AG62" s="75">
        <v>130051.62197537303</v>
      </c>
    </row>
    <row r="63" spans="4:33" ht="13.5" customHeight="1">
      <c r="D63" s="1">
        <v>18</v>
      </c>
      <c r="AB63" s="66"/>
      <c r="AC63" s="64" t="s">
        <v>667</v>
      </c>
      <c r="AD63" s="66"/>
      <c r="AE63" s="77"/>
      <c r="AF63" s="77"/>
      <c r="AG63" s="77"/>
    </row>
    <row r="64" spans="4:33" ht="13.5" customHeight="1">
      <c r="D64" s="1">
        <v>18</v>
      </c>
      <c r="H64" s="15" t="s">
        <v>668</v>
      </c>
      <c r="I64" s="15" t="s">
        <v>669</v>
      </c>
      <c r="J64" s="15" t="s">
        <v>617</v>
      </c>
      <c r="K64" s="15" t="s">
        <v>547</v>
      </c>
      <c r="AB64" s="66" t="s">
        <v>670</v>
      </c>
      <c r="AC64" s="64" t="s">
        <v>669</v>
      </c>
      <c r="AD64" s="66" t="s">
        <v>619</v>
      </c>
      <c r="AE64" s="78">
        <v>68759.790570471669</v>
      </c>
      <c r="AF64" s="78">
        <v>62156.020084000003</v>
      </c>
      <c r="AG64" s="78">
        <v>99479.37157154693</v>
      </c>
    </row>
    <row r="65" spans="4:33" ht="13.5" customHeight="1">
      <c r="D65" s="1">
        <v>18</v>
      </c>
      <c r="H65" s="15" t="s">
        <v>671</v>
      </c>
      <c r="I65" s="15" t="s">
        <v>672</v>
      </c>
      <c r="J65" s="15" t="s">
        <v>617</v>
      </c>
      <c r="K65" s="15" t="s">
        <v>547</v>
      </c>
      <c r="AB65" s="66" t="s">
        <v>673</v>
      </c>
      <c r="AC65" s="64" t="s">
        <v>672</v>
      </c>
      <c r="AD65" s="66" t="s">
        <v>619</v>
      </c>
      <c r="AE65" s="78">
        <v>9607.9768999999997</v>
      </c>
      <c r="AF65" s="78">
        <v>10845.60167</v>
      </c>
      <c r="AG65" s="78">
        <v>11968.579859902711</v>
      </c>
    </row>
    <row r="66" spans="4:33" ht="13.5" customHeight="1">
      <c r="D66" s="1">
        <v>18</v>
      </c>
      <c r="H66" s="15" t="s">
        <v>674</v>
      </c>
      <c r="I66" s="15" t="s">
        <v>675</v>
      </c>
      <c r="J66" s="15" t="s">
        <v>617</v>
      </c>
      <c r="K66" s="15" t="s">
        <v>547</v>
      </c>
      <c r="AB66" s="66" t="s">
        <v>676</v>
      </c>
      <c r="AC66" s="64" t="s">
        <v>675</v>
      </c>
      <c r="AD66" s="66" t="s">
        <v>619</v>
      </c>
      <c r="AE66" s="78">
        <v>6914.3309000000008</v>
      </c>
      <c r="AF66" s="78">
        <v>7644.50756</v>
      </c>
      <c r="AG66" s="78">
        <v>8578.532433459166</v>
      </c>
    </row>
    <row r="67" spans="4:33" ht="60" customHeight="1">
      <c r="D67" s="1">
        <v>80</v>
      </c>
      <c r="H67" s="15" t="s">
        <v>677</v>
      </c>
      <c r="I67" s="15" t="s">
        <v>678</v>
      </c>
      <c r="J67" s="15" t="s">
        <v>617</v>
      </c>
      <c r="K67" s="15" t="s">
        <v>547</v>
      </c>
      <c r="AB67" s="66" t="s">
        <v>679</v>
      </c>
      <c r="AC67" s="64" t="s">
        <v>680</v>
      </c>
      <c r="AD67" s="66" t="s">
        <v>619</v>
      </c>
      <c r="AE67" s="75">
        <v>102091.37740428009</v>
      </c>
      <c r="AF67" s="75">
        <v>69898.066125199999</v>
      </c>
      <c r="AG67" s="75">
        <v>117867.46624511473</v>
      </c>
    </row>
    <row r="68" spans="4:33" ht="27.75" customHeight="1">
      <c r="D68" s="1">
        <v>37</v>
      </c>
      <c r="H68" s="15" t="s">
        <v>681</v>
      </c>
      <c r="I68" s="15" t="s">
        <v>682</v>
      </c>
      <c r="J68" s="15" t="s">
        <v>617</v>
      </c>
      <c r="K68" s="15" t="s">
        <v>547</v>
      </c>
      <c r="AB68" s="66" t="s">
        <v>683</v>
      </c>
      <c r="AC68" s="64" t="s">
        <v>682</v>
      </c>
      <c r="AD68" s="66" t="s">
        <v>619</v>
      </c>
      <c r="AE68" s="75">
        <v>3369.42</v>
      </c>
      <c r="AF68" s="75">
        <v>9512.7800000000007</v>
      </c>
      <c r="AG68" s="75">
        <v>74890.78989646594</v>
      </c>
    </row>
    <row r="69" spans="4:33" ht="27.75" customHeight="1">
      <c r="D69" s="1">
        <v>37</v>
      </c>
      <c r="H69" s="15" t="s">
        <v>684</v>
      </c>
      <c r="I69" s="15" t="s">
        <v>685</v>
      </c>
      <c r="J69" s="15" t="s">
        <v>617</v>
      </c>
      <c r="K69" s="15" t="s">
        <v>547</v>
      </c>
      <c r="AB69" s="66" t="s">
        <v>686</v>
      </c>
      <c r="AC69" s="64" t="s">
        <v>685</v>
      </c>
      <c r="AD69" s="66" t="s">
        <v>619</v>
      </c>
      <c r="AE69" s="75">
        <v>27431.275000000001</v>
      </c>
      <c r="AF69" s="75">
        <v>41320</v>
      </c>
      <c r="AG69" s="75">
        <v>65392.442110000004</v>
      </c>
    </row>
    <row r="70" spans="4:33" ht="69.75" customHeight="1">
      <c r="D70" s="1">
        <v>56</v>
      </c>
      <c r="H70" s="15" t="s">
        <v>687</v>
      </c>
      <c r="I70" s="15" t="s">
        <v>688</v>
      </c>
      <c r="J70" s="15" t="s">
        <v>324</v>
      </c>
      <c r="K70" s="15" t="s">
        <v>547</v>
      </c>
      <c r="AB70" s="66" t="s">
        <v>689</v>
      </c>
      <c r="AC70" s="64" t="s">
        <v>688</v>
      </c>
      <c r="AD70" s="66"/>
      <c r="AE70" s="76" t="s">
        <v>690</v>
      </c>
      <c r="AF70" s="76" t="s">
        <v>690</v>
      </c>
      <c r="AG70" s="76" t="s">
        <v>691</v>
      </c>
    </row>
    <row r="71" spans="4:33" ht="13.5" customHeight="1">
      <c r="D71" s="1">
        <v>18</v>
      </c>
      <c r="H71" s="15" t="s">
        <v>692</v>
      </c>
      <c r="I71" s="15" t="s">
        <v>693</v>
      </c>
      <c r="J71" s="15" t="s">
        <v>617</v>
      </c>
      <c r="K71" s="15" t="s">
        <v>547</v>
      </c>
      <c r="AB71" s="47" t="s">
        <v>694</v>
      </c>
      <c r="AC71" s="65" t="s">
        <v>695</v>
      </c>
      <c r="AD71" s="66" t="s">
        <v>696</v>
      </c>
      <c r="AE71" s="78">
        <v>3703.1062999999999</v>
      </c>
      <c r="AF71" s="78">
        <v>3503.3088000000002</v>
      </c>
      <c r="AG71" s="78">
        <v>3744.3063000000002</v>
      </c>
    </row>
    <row r="72" spans="4:33" ht="41.25" customHeight="1">
      <c r="D72" s="1">
        <v>55</v>
      </c>
      <c r="H72" s="15" t="s">
        <v>697</v>
      </c>
      <c r="I72" s="15" t="s">
        <v>698</v>
      </c>
      <c r="J72" s="15" t="s">
        <v>617</v>
      </c>
      <c r="K72" s="15" t="s">
        <v>547</v>
      </c>
      <c r="AB72" s="47" t="s">
        <v>699</v>
      </c>
      <c r="AC72" s="64" t="s">
        <v>700</v>
      </c>
      <c r="AD72" s="66" t="s">
        <v>701</v>
      </c>
      <c r="AE72" s="78">
        <v>25.680541406675708</v>
      </c>
      <c r="AF72" s="78">
        <v>25.602443513971707</v>
      </c>
      <c r="AG72" s="78">
        <v>34.733168591301684</v>
      </c>
    </row>
    <row r="73" spans="4:33" ht="30" customHeight="1">
      <c r="D73" s="1">
        <v>40</v>
      </c>
      <c r="AB73" s="67" t="s">
        <v>536</v>
      </c>
      <c r="AC73" s="818" t="s">
        <v>702</v>
      </c>
      <c r="AD73" s="818"/>
      <c r="AE73" s="68"/>
      <c r="AF73" s="68"/>
      <c r="AG73" s="69"/>
    </row>
    <row r="74" spans="4:33" ht="13.5" customHeight="1">
      <c r="D74" s="1">
        <v>18</v>
      </c>
      <c r="H74" s="15" t="s">
        <v>703</v>
      </c>
      <c r="I74" s="15" t="s">
        <v>704</v>
      </c>
      <c r="J74" s="15" t="s">
        <v>617</v>
      </c>
      <c r="K74" s="15" t="s">
        <v>547</v>
      </c>
      <c r="AB74" s="47" t="s">
        <v>705</v>
      </c>
      <c r="AC74" s="64" t="s">
        <v>704</v>
      </c>
      <c r="AD74" s="66" t="s">
        <v>706</v>
      </c>
      <c r="AE74" s="75">
        <v>98</v>
      </c>
      <c r="AF74" s="75">
        <v>130</v>
      </c>
      <c r="AG74" s="75">
        <v>130</v>
      </c>
    </row>
    <row r="75" spans="4:33" ht="27.75" customHeight="1">
      <c r="D75" s="1">
        <v>37</v>
      </c>
      <c r="H75" s="15" t="s">
        <v>707</v>
      </c>
      <c r="I75" s="15" t="s">
        <v>708</v>
      </c>
      <c r="J75" s="15" t="s">
        <v>617</v>
      </c>
      <c r="K75" s="15" t="s">
        <v>547</v>
      </c>
      <c r="AB75" s="47" t="s">
        <v>709</v>
      </c>
      <c r="AC75" s="64" t="s">
        <v>708</v>
      </c>
      <c r="AD75" s="66" t="s">
        <v>710</v>
      </c>
      <c r="AE75" s="75">
        <v>58.469209668768421</v>
      </c>
      <c r="AF75" s="75">
        <v>39.843602617948719</v>
      </c>
      <c r="AG75" s="75">
        <v>63.768827930478807</v>
      </c>
    </row>
    <row r="76" spans="4:33" ht="51" customHeight="1">
      <c r="D76" s="1">
        <v>68</v>
      </c>
      <c r="H76" s="15" t="s">
        <v>711</v>
      </c>
      <c r="I76" s="15" t="s">
        <v>712</v>
      </c>
      <c r="J76" s="15" t="s">
        <v>324</v>
      </c>
      <c r="K76" s="15" t="s">
        <v>547</v>
      </c>
      <c r="AB76" s="47" t="s">
        <v>713</v>
      </c>
      <c r="AC76" s="64" t="s">
        <v>712</v>
      </c>
      <c r="AD76" s="66"/>
      <c r="AE76" s="76" t="s">
        <v>714</v>
      </c>
      <c r="AF76" s="76" t="s">
        <v>714</v>
      </c>
      <c r="AG76" s="76" t="s">
        <v>714</v>
      </c>
    </row>
    <row r="77" spans="4:33" ht="27.75" customHeight="1">
      <c r="D77" s="1">
        <v>37</v>
      </c>
      <c r="H77" s="15" t="s">
        <v>715</v>
      </c>
      <c r="I77" s="15" t="s">
        <v>716</v>
      </c>
      <c r="J77" s="15" t="s">
        <v>617</v>
      </c>
      <c r="K77" s="15" t="s">
        <v>547</v>
      </c>
      <c r="AB77" s="47" t="s">
        <v>541</v>
      </c>
      <c r="AC77" s="64" t="s">
        <v>716</v>
      </c>
      <c r="AD77" s="66" t="s">
        <v>619</v>
      </c>
      <c r="AE77" s="75">
        <v>61278</v>
      </c>
      <c r="AF77" s="75">
        <v>61278</v>
      </c>
      <c r="AG77" s="75">
        <v>61278</v>
      </c>
    </row>
    <row r="78" spans="4:33" ht="41.25" customHeight="1">
      <c r="D78" s="1">
        <v>55</v>
      </c>
      <c r="H78" s="15" t="s">
        <v>717</v>
      </c>
      <c r="I78" s="15" t="s">
        <v>718</v>
      </c>
      <c r="J78" s="15" t="s">
        <v>617</v>
      </c>
      <c r="K78" s="15" t="s">
        <v>547</v>
      </c>
      <c r="AB78" s="47" t="s">
        <v>543</v>
      </c>
      <c r="AC78" s="64" t="s">
        <v>718</v>
      </c>
      <c r="AD78" s="66" t="s">
        <v>619</v>
      </c>
      <c r="AE78" s="75">
        <v>-63353</v>
      </c>
      <c r="AF78" s="75">
        <v>-48253</v>
      </c>
      <c r="AG78" s="75">
        <v>-24253</v>
      </c>
    </row>
    <row r="79" spans="4:33" ht="7.5" customHeight="1">
      <c r="D79" s="1">
        <v>10</v>
      </c>
    </row>
    <row r="80" spans="4:33" ht="6" hidden="1" customHeight="1">
      <c r="D80" s="1">
        <v>0</v>
      </c>
    </row>
    <row r="81" spans="2:36" ht="6" hidden="1" customHeight="1">
      <c r="D81" s="1">
        <v>0</v>
      </c>
    </row>
    <row r="82" spans="2:36" ht="6" hidden="1" customHeight="1">
      <c r="D82" s="1">
        <v>0</v>
      </c>
    </row>
    <row r="83" spans="2:36" ht="27.75" customHeight="1">
      <c r="D83" s="1">
        <v>37</v>
      </c>
      <c r="AB83" s="806" t="s">
        <v>719</v>
      </c>
      <c r="AC83" s="806"/>
      <c r="AD83" s="806"/>
      <c r="AE83" s="806"/>
      <c r="AF83" s="806"/>
      <c r="AG83" s="806"/>
      <c r="AH83" s="806"/>
      <c r="AI83" s="806"/>
      <c r="AJ83" s="806"/>
    </row>
    <row r="84" spans="2:36" ht="13.5" customHeight="1">
      <c r="D84" s="1">
        <v>18</v>
      </c>
    </row>
    <row r="85" spans="2:36" ht="29.25" customHeight="1">
      <c r="D85" s="1">
        <v>39</v>
      </c>
      <c r="AB85" s="816" t="s">
        <v>608</v>
      </c>
      <c r="AC85" s="816"/>
      <c r="AD85" s="816" t="s">
        <v>720</v>
      </c>
      <c r="AE85" s="798" t="s">
        <v>610</v>
      </c>
      <c r="AF85" s="798"/>
      <c r="AG85" s="798" t="s">
        <v>721</v>
      </c>
      <c r="AH85" s="798"/>
      <c r="AI85" s="798" t="s">
        <v>722</v>
      </c>
      <c r="AJ85" s="798"/>
    </row>
    <row r="86" spans="2:36" ht="13.5" customHeight="1">
      <c r="D86" s="1">
        <v>18</v>
      </c>
      <c r="AB86" s="816"/>
      <c r="AC86" s="816"/>
      <c r="AD86" s="816"/>
      <c r="AE86" s="66" t="s">
        <v>723</v>
      </c>
      <c r="AF86" s="66" t="s">
        <v>724</v>
      </c>
      <c r="AG86" s="66" t="s">
        <v>723</v>
      </c>
      <c r="AH86" s="66" t="s">
        <v>724</v>
      </c>
      <c r="AI86" s="66" t="s">
        <v>723</v>
      </c>
      <c r="AJ86" s="66" t="s">
        <v>724</v>
      </c>
    </row>
    <row r="87" spans="2:36" ht="24" customHeight="1">
      <c r="D87" s="1">
        <v>32</v>
      </c>
      <c r="AB87" s="817" t="s">
        <v>725</v>
      </c>
      <c r="AC87" s="818"/>
      <c r="AD87" s="818"/>
      <c r="AE87" s="68"/>
      <c r="AF87" s="68"/>
      <c r="AG87" s="68"/>
      <c r="AH87" s="68"/>
      <c r="AI87" s="68"/>
      <c r="AJ87" s="68"/>
    </row>
    <row r="88" spans="2:36" ht="24" customHeight="1">
      <c r="D88" s="1">
        <v>32</v>
      </c>
      <c r="AB88" s="67">
        <v>1</v>
      </c>
      <c r="AC88" s="68" t="s">
        <v>726</v>
      </c>
      <c r="AD88" s="68"/>
      <c r="AE88" s="68"/>
      <c r="AF88" s="68"/>
      <c r="AG88" s="68"/>
      <c r="AH88" s="68"/>
      <c r="AI88" s="68"/>
      <c r="AJ88" s="68"/>
    </row>
    <row r="89" spans="2:36" ht="23.25" hidden="1" customHeight="1">
      <c r="B89" s="3" t="b">
        <v>0</v>
      </c>
      <c r="D89" s="1">
        <v>37</v>
      </c>
      <c r="H89" s="15" t="s">
        <v>727</v>
      </c>
      <c r="I89" s="15" t="s">
        <v>728</v>
      </c>
      <c r="J89" s="15" t="s">
        <v>617</v>
      </c>
      <c r="K89" s="15" t="s">
        <v>547</v>
      </c>
      <c r="AB89" s="47" t="s">
        <v>618</v>
      </c>
      <c r="AC89" s="64" t="s">
        <v>728</v>
      </c>
      <c r="AD89" s="66" t="s">
        <v>729</v>
      </c>
      <c r="AE89" s="82"/>
      <c r="AF89" s="82"/>
      <c r="AG89" s="82"/>
      <c r="AH89" s="82"/>
      <c r="AI89" s="82">
        <v>0</v>
      </c>
      <c r="AJ89" s="82">
        <v>0</v>
      </c>
    </row>
    <row r="90" spans="2:36" ht="23.25" hidden="1" customHeight="1">
      <c r="B90" s="3" t="b">
        <v>0</v>
      </c>
      <c r="D90" s="1">
        <v>37</v>
      </c>
      <c r="H90" s="15" t="s">
        <v>730</v>
      </c>
      <c r="I90" s="15" t="s">
        <v>731</v>
      </c>
      <c r="J90" s="15" t="s">
        <v>617</v>
      </c>
      <c r="K90" s="15" t="s">
        <v>547</v>
      </c>
      <c r="AB90" s="83" t="s">
        <v>622</v>
      </c>
      <c r="AC90" s="84" t="s">
        <v>731</v>
      </c>
      <c r="AD90" s="85" t="s">
        <v>732</v>
      </c>
      <c r="AE90" s="86"/>
      <c r="AF90" s="86"/>
      <c r="AG90" s="86"/>
      <c r="AH90" s="86"/>
      <c r="AI90" s="86">
        <v>0</v>
      </c>
      <c r="AJ90" s="86">
        <v>0</v>
      </c>
    </row>
    <row r="91" spans="2:36" ht="18" hidden="1" customHeight="1">
      <c r="B91" s="3" t="b">
        <v>0</v>
      </c>
      <c r="D91" s="1">
        <v>29</v>
      </c>
      <c r="H91" s="15" t="s">
        <v>733</v>
      </c>
      <c r="I91" s="15" t="s">
        <v>734</v>
      </c>
      <c r="J91" s="15" t="s">
        <v>617</v>
      </c>
      <c r="K91" s="15" t="s">
        <v>547</v>
      </c>
      <c r="AB91" s="67" t="s">
        <v>530</v>
      </c>
      <c r="AC91" s="68" t="s">
        <v>734</v>
      </c>
      <c r="AD91" s="87" t="s">
        <v>732</v>
      </c>
      <c r="AE91" s="82"/>
      <c r="AF91" s="82"/>
      <c r="AG91" s="82"/>
      <c r="AH91" s="82"/>
      <c r="AI91" s="82">
        <v>0</v>
      </c>
      <c r="AJ91" s="82">
        <v>0</v>
      </c>
    </row>
    <row r="92" spans="2:36" ht="23.25" hidden="1" customHeight="1">
      <c r="B92" s="3" t="b">
        <v>0</v>
      </c>
      <c r="D92" s="1">
        <v>37</v>
      </c>
      <c r="H92" s="15" t="s">
        <v>727</v>
      </c>
      <c r="I92" s="15" t="s">
        <v>728</v>
      </c>
      <c r="J92" s="15" t="s">
        <v>617</v>
      </c>
      <c r="K92" s="15" t="s">
        <v>547</v>
      </c>
      <c r="AB92" s="83" t="s">
        <v>618</v>
      </c>
      <c r="AC92" s="84" t="s">
        <v>728</v>
      </c>
      <c r="AD92" s="85" t="s">
        <v>729</v>
      </c>
      <c r="AE92" s="86"/>
      <c r="AF92" s="88"/>
      <c r="AG92" s="82"/>
      <c r="AH92" s="82"/>
      <c r="AI92" s="82">
        <v>0</v>
      </c>
      <c r="AJ92" s="82">
        <v>0</v>
      </c>
    </row>
    <row r="93" spans="2:36" ht="23.25" hidden="1" customHeight="1">
      <c r="B93" s="3" t="b">
        <v>0</v>
      </c>
      <c r="D93" s="1">
        <v>37</v>
      </c>
      <c r="H93" s="15" t="s">
        <v>730</v>
      </c>
      <c r="I93" s="15" t="s">
        <v>731</v>
      </c>
      <c r="J93" s="15" t="s">
        <v>617</v>
      </c>
      <c r="K93" s="15" t="s">
        <v>547</v>
      </c>
      <c r="AB93" s="83" t="s">
        <v>622</v>
      </c>
      <c r="AC93" s="84" t="s">
        <v>731</v>
      </c>
      <c r="AD93" s="85" t="s">
        <v>732</v>
      </c>
      <c r="AE93" s="86"/>
      <c r="AF93" s="86"/>
      <c r="AG93" s="86"/>
      <c r="AH93" s="86"/>
      <c r="AI93" s="86">
        <v>0</v>
      </c>
      <c r="AJ93" s="86">
        <v>0</v>
      </c>
    </row>
    <row r="94" spans="2:36" ht="18" hidden="1" customHeight="1">
      <c r="B94" s="3" t="b">
        <v>0</v>
      </c>
      <c r="D94" s="1">
        <v>29</v>
      </c>
      <c r="H94" s="15" t="s">
        <v>733</v>
      </c>
      <c r="I94" s="15" t="s">
        <v>734</v>
      </c>
      <c r="J94" s="15" t="s">
        <v>617</v>
      </c>
      <c r="K94" s="15" t="s">
        <v>547</v>
      </c>
      <c r="AB94" s="67" t="s">
        <v>530</v>
      </c>
      <c r="AC94" s="68" t="s">
        <v>734</v>
      </c>
      <c r="AD94" s="87" t="s">
        <v>732</v>
      </c>
      <c r="AE94" s="82"/>
      <c r="AF94" s="82"/>
      <c r="AG94" s="82"/>
      <c r="AH94" s="82"/>
      <c r="AI94" s="82">
        <v>0</v>
      </c>
      <c r="AJ94" s="82">
        <v>0</v>
      </c>
    </row>
    <row r="95" spans="2:36" ht="23.25" hidden="1" customHeight="1">
      <c r="B95" s="3" t="b">
        <v>0</v>
      </c>
      <c r="D95" s="1">
        <v>37</v>
      </c>
      <c r="H95" s="15" t="s">
        <v>727</v>
      </c>
      <c r="I95" s="15" t="s">
        <v>728</v>
      </c>
      <c r="J95" s="15" t="s">
        <v>617</v>
      </c>
      <c r="K95" s="15" t="s">
        <v>547</v>
      </c>
      <c r="AB95" s="83" t="s">
        <v>618</v>
      </c>
      <c r="AC95" s="84" t="s">
        <v>728</v>
      </c>
      <c r="AD95" s="85" t="s">
        <v>729</v>
      </c>
      <c r="AE95" s="86"/>
      <c r="AF95" s="88"/>
      <c r="AG95" s="82"/>
      <c r="AH95" s="82"/>
      <c r="AI95" s="82">
        <v>1108884.5053078055</v>
      </c>
      <c r="AJ95" s="82">
        <v>1137531.3944780836</v>
      </c>
    </row>
    <row r="96" spans="2:36" ht="23.25" hidden="1" customHeight="1">
      <c r="B96" s="3" t="b">
        <v>0</v>
      </c>
      <c r="D96" s="1">
        <v>37</v>
      </c>
      <c r="H96" s="15" t="s">
        <v>730</v>
      </c>
      <c r="I96" s="15" t="s">
        <v>731</v>
      </c>
      <c r="J96" s="15" t="s">
        <v>617</v>
      </c>
      <c r="K96" s="15" t="s">
        <v>547</v>
      </c>
      <c r="AB96" s="83" t="s">
        <v>622</v>
      </c>
      <c r="AC96" s="84" t="s">
        <v>731</v>
      </c>
      <c r="AD96" s="85" t="s">
        <v>732</v>
      </c>
      <c r="AE96" s="86"/>
      <c r="AF96" s="86"/>
      <c r="AG96" s="86"/>
      <c r="AH96" s="86"/>
      <c r="AI96" s="86">
        <v>461.24234363599396</v>
      </c>
      <c r="AJ96" s="86">
        <v>441.63422704148286</v>
      </c>
    </row>
    <row r="97" spans="2:36" ht="18" hidden="1" customHeight="1">
      <c r="B97" s="3" t="b">
        <v>0</v>
      </c>
      <c r="D97" s="1">
        <v>29</v>
      </c>
      <c r="H97" s="15" t="s">
        <v>733</v>
      </c>
      <c r="I97" s="15" t="s">
        <v>734</v>
      </c>
      <c r="J97" s="15" t="s">
        <v>617</v>
      </c>
      <c r="K97" s="15" t="s">
        <v>547</v>
      </c>
      <c r="AB97" s="67" t="s">
        <v>530</v>
      </c>
      <c r="AC97" s="68" t="s">
        <v>734</v>
      </c>
      <c r="AD97" s="87" t="s">
        <v>732</v>
      </c>
      <c r="AE97" s="82"/>
      <c r="AF97" s="82"/>
      <c r="AG97" s="82"/>
      <c r="AH97" s="82"/>
      <c r="AI97" s="82">
        <v>2289.9542494341313</v>
      </c>
      <c r="AJ97" s="82">
        <v>2325.213446814379</v>
      </c>
    </row>
    <row r="98" spans="2:36" ht="27.75" customHeight="1">
      <c r="B98" s="29" t="b">
        <v>1</v>
      </c>
      <c r="D98" s="1">
        <v>37</v>
      </c>
      <c r="H98" s="15" t="s">
        <v>727</v>
      </c>
      <c r="I98" s="15" t="s">
        <v>728</v>
      </c>
      <c r="J98" s="15" t="s">
        <v>617</v>
      </c>
      <c r="K98" s="15" t="s">
        <v>547</v>
      </c>
      <c r="AB98" s="83" t="s">
        <v>618</v>
      </c>
      <c r="AC98" s="84" t="s">
        <v>728</v>
      </c>
      <c r="AD98" s="85" t="s">
        <v>729</v>
      </c>
      <c r="AE98" s="89">
        <v>841798.17261315347</v>
      </c>
      <c r="AF98" s="90">
        <v>841798.17261315347</v>
      </c>
      <c r="AG98" s="75">
        <v>733204.24386762083</v>
      </c>
      <c r="AH98" s="75">
        <v>733204.24386762083</v>
      </c>
      <c r="AI98" s="75">
        <v>1248362.7211940621</v>
      </c>
      <c r="AJ98" s="75">
        <v>1275131.3168209365</v>
      </c>
    </row>
    <row r="99" spans="2:36" ht="27.75" customHeight="1">
      <c r="B99" s="29" t="b">
        <v>1</v>
      </c>
      <c r="D99" s="1">
        <v>37</v>
      </c>
      <c r="H99" s="15" t="s">
        <v>730</v>
      </c>
      <c r="I99" s="15" t="s">
        <v>731</v>
      </c>
      <c r="J99" s="15" t="s">
        <v>617</v>
      </c>
      <c r="K99" s="15" t="s">
        <v>547</v>
      </c>
      <c r="AB99" s="83" t="s">
        <v>622</v>
      </c>
      <c r="AC99" s="84" t="s">
        <v>731</v>
      </c>
      <c r="AD99" s="85" t="s">
        <v>732</v>
      </c>
      <c r="AE99" s="89">
        <v>421.73774020741217</v>
      </c>
      <c r="AF99" s="89">
        <v>421.73774020741217</v>
      </c>
      <c r="AG99" s="89">
        <v>491.25568567826366</v>
      </c>
      <c r="AH99" s="89">
        <v>491.25568567826366</v>
      </c>
      <c r="AI99" s="89">
        <v>520.79549341153677</v>
      </c>
      <c r="AJ99" s="89">
        <v>495.93357074066643</v>
      </c>
    </row>
    <row r="100" spans="2:36" ht="21.75" customHeight="1">
      <c r="B100" s="29" t="b">
        <v>1</v>
      </c>
      <c r="D100" s="1">
        <v>29</v>
      </c>
      <c r="H100" s="15" t="s">
        <v>733</v>
      </c>
      <c r="I100" s="15" t="s">
        <v>734</v>
      </c>
      <c r="J100" s="15" t="s">
        <v>617</v>
      </c>
      <c r="K100" s="15" t="s">
        <v>547</v>
      </c>
      <c r="AB100" s="67" t="s">
        <v>530</v>
      </c>
      <c r="AC100" s="68" t="s">
        <v>734</v>
      </c>
      <c r="AD100" s="87" t="s">
        <v>732</v>
      </c>
      <c r="AE100" s="75">
        <v>1783.8513447493863</v>
      </c>
      <c r="AF100" s="75">
        <v>1783.8513447493863</v>
      </c>
      <c r="AG100" s="75">
        <v>1635.246527506305</v>
      </c>
      <c r="AH100" s="75">
        <v>1635.246527506305</v>
      </c>
      <c r="AI100" s="75">
        <v>2585.6209207129418</v>
      </c>
      <c r="AJ100" s="75">
        <v>2611.1006276344419</v>
      </c>
    </row>
    <row r="101" spans="2:36" ht="23.25" hidden="1" customHeight="1">
      <c r="B101" s="29" t="b">
        <v>0</v>
      </c>
      <c r="D101" s="1">
        <v>37</v>
      </c>
      <c r="H101" s="15" t="s">
        <v>727</v>
      </c>
      <c r="I101" s="15" t="s">
        <v>728</v>
      </c>
      <c r="J101" s="15" t="s">
        <v>617</v>
      </c>
      <c r="K101" s="15" t="s">
        <v>735</v>
      </c>
      <c r="AB101" s="83" t="s">
        <v>618</v>
      </c>
      <c r="AC101" s="84" t="s">
        <v>736</v>
      </c>
      <c r="AD101" s="85" t="s">
        <v>729</v>
      </c>
      <c r="AE101" s="86"/>
      <c r="AF101" s="88"/>
      <c r="AG101" s="82"/>
      <c r="AH101" s="82"/>
      <c r="AI101" s="82">
        <v>0</v>
      </c>
      <c r="AJ101" s="82">
        <v>0</v>
      </c>
    </row>
    <row r="102" spans="2:36" ht="23.25" hidden="1" customHeight="1">
      <c r="B102" s="29" t="b">
        <v>0</v>
      </c>
      <c r="D102" s="1">
        <v>37</v>
      </c>
      <c r="H102" s="15" t="s">
        <v>730</v>
      </c>
      <c r="I102" s="15" t="s">
        <v>731</v>
      </c>
      <c r="J102" s="15" t="s">
        <v>617</v>
      </c>
      <c r="K102" s="15" t="s">
        <v>735</v>
      </c>
      <c r="AB102" s="83" t="s">
        <v>622</v>
      </c>
      <c r="AC102" s="84" t="s">
        <v>737</v>
      </c>
      <c r="AD102" s="85" t="s">
        <v>732</v>
      </c>
      <c r="AE102" s="86"/>
      <c r="AF102" s="86"/>
      <c r="AG102" s="86"/>
      <c r="AH102" s="86"/>
      <c r="AI102" s="86">
        <v>0</v>
      </c>
      <c r="AJ102" s="86">
        <v>0</v>
      </c>
    </row>
    <row r="103" spans="2:36" ht="26.25" hidden="1" customHeight="1">
      <c r="B103" s="29" t="b">
        <v>0</v>
      </c>
      <c r="D103" s="1">
        <v>42</v>
      </c>
      <c r="H103" s="15" t="s">
        <v>733</v>
      </c>
      <c r="I103" s="15" t="s">
        <v>734</v>
      </c>
      <c r="J103" s="15" t="s">
        <v>617</v>
      </c>
      <c r="K103" s="15" t="s">
        <v>735</v>
      </c>
      <c r="AB103" s="67" t="s">
        <v>530</v>
      </c>
      <c r="AC103" s="68" t="s">
        <v>738</v>
      </c>
      <c r="AD103" s="87" t="s">
        <v>732</v>
      </c>
      <c r="AE103" s="82"/>
      <c r="AF103" s="82"/>
      <c r="AG103" s="82"/>
      <c r="AH103" s="82"/>
      <c r="AI103" s="82">
        <v>0</v>
      </c>
      <c r="AJ103" s="82">
        <v>0</v>
      </c>
    </row>
    <row r="104" spans="2:36" ht="23.25" hidden="1" customHeight="1">
      <c r="B104" s="29" t="b">
        <v>0</v>
      </c>
      <c r="D104" s="1">
        <v>37</v>
      </c>
      <c r="H104" s="15" t="s">
        <v>727</v>
      </c>
      <c r="I104" s="15" t="s">
        <v>728</v>
      </c>
      <c r="J104" s="15" t="s">
        <v>617</v>
      </c>
      <c r="K104" s="15" t="s">
        <v>739</v>
      </c>
      <c r="AB104" s="83" t="s">
        <v>618</v>
      </c>
      <c r="AC104" s="84" t="s">
        <v>740</v>
      </c>
      <c r="AD104" s="85" t="s">
        <v>729</v>
      </c>
      <c r="AE104" s="86"/>
      <c r="AF104" s="88"/>
      <c r="AG104" s="82"/>
      <c r="AH104" s="82"/>
      <c r="AI104" s="82">
        <v>0</v>
      </c>
      <c r="AJ104" s="82">
        <v>0</v>
      </c>
    </row>
    <row r="105" spans="2:36" ht="23.25" hidden="1" customHeight="1">
      <c r="B105" s="29" t="b">
        <v>0</v>
      </c>
      <c r="D105" s="1">
        <v>37</v>
      </c>
      <c r="H105" s="15" t="s">
        <v>730</v>
      </c>
      <c r="I105" s="15" t="s">
        <v>731</v>
      </c>
      <c r="J105" s="15" t="s">
        <v>617</v>
      </c>
      <c r="K105" s="15" t="s">
        <v>739</v>
      </c>
      <c r="AB105" s="83" t="s">
        <v>622</v>
      </c>
      <c r="AC105" s="84" t="s">
        <v>741</v>
      </c>
      <c r="AD105" s="85" t="s">
        <v>732</v>
      </c>
      <c r="AE105" s="86"/>
      <c r="AF105" s="86"/>
      <c r="AG105" s="86"/>
      <c r="AH105" s="86"/>
      <c r="AI105" s="86">
        <v>0</v>
      </c>
      <c r="AJ105" s="86">
        <v>0</v>
      </c>
    </row>
    <row r="106" spans="2:36" ht="18" hidden="1" customHeight="1">
      <c r="B106" s="29" t="b">
        <v>0</v>
      </c>
      <c r="D106" s="1">
        <v>29</v>
      </c>
      <c r="H106" s="15" t="s">
        <v>733</v>
      </c>
      <c r="I106" s="15" t="s">
        <v>734</v>
      </c>
      <c r="J106" s="15" t="s">
        <v>617</v>
      </c>
      <c r="K106" s="15" t="s">
        <v>739</v>
      </c>
      <c r="AB106" s="67" t="s">
        <v>530</v>
      </c>
      <c r="AC106" s="68" t="s">
        <v>742</v>
      </c>
      <c r="AD106" s="87" t="s">
        <v>732</v>
      </c>
      <c r="AE106" s="82"/>
      <c r="AF106" s="82"/>
      <c r="AG106" s="82"/>
      <c r="AH106" s="82"/>
      <c r="AI106" s="82">
        <v>0</v>
      </c>
      <c r="AJ106" s="82">
        <v>0</v>
      </c>
    </row>
    <row r="107" spans="2:36" ht="23.25" hidden="1" customHeight="1">
      <c r="B107" s="3" t="b">
        <v>0</v>
      </c>
      <c r="D107" s="1">
        <v>37</v>
      </c>
      <c r="H107" s="15" t="s">
        <v>727</v>
      </c>
      <c r="I107" s="15" t="s">
        <v>728</v>
      </c>
      <c r="J107" s="15" t="s">
        <v>617</v>
      </c>
      <c r="K107" s="15" t="s">
        <v>547</v>
      </c>
      <c r="AB107" s="83" t="s">
        <v>618</v>
      </c>
      <c r="AC107" s="84" t="s">
        <v>728</v>
      </c>
      <c r="AD107" s="85" t="s">
        <v>729</v>
      </c>
      <c r="AE107" s="86"/>
      <c r="AF107" s="86"/>
      <c r="AG107" s="86"/>
      <c r="AH107" s="86"/>
      <c r="AI107" s="86">
        <v>1248362.7211940621</v>
      </c>
      <c r="AJ107" s="86">
        <v>1275131.3168209365</v>
      </c>
    </row>
    <row r="108" spans="2:36" ht="23.25" hidden="1" customHeight="1">
      <c r="B108" s="3" t="b">
        <v>0</v>
      </c>
      <c r="D108" s="1">
        <v>37</v>
      </c>
      <c r="H108" s="15" t="s">
        <v>730</v>
      </c>
      <c r="I108" s="15" t="s">
        <v>731</v>
      </c>
      <c r="J108" s="15" t="s">
        <v>617</v>
      </c>
      <c r="K108" s="15" t="s">
        <v>547</v>
      </c>
      <c r="AB108" s="83" t="s">
        <v>622</v>
      </c>
      <c r="AC108" s="84" t="s">
        <v>731</v>
      </c>
      <c r="AD108" s="85" t="s">
        <v>732</v>
      </c>
      <c r="AE108" s="86"/>
      <c r="AF108" s="86"/>
      <c r="AG108" s="86"/>
      <c r="AH108" s="86"/>
      <c r="AI108" s="86">
        <v>520.79549341153677</v>
      </c>
      <c r="AJ108" s="86">
        <v>495.93357074066643</v>
      </c>
    </row>
    <row r="109" spans="2:36" ht="18" hidden="1" customHeight="1">
      <c r="B109" s="3" t="b">
        <v>0</v>
      </c>
      <c r="D109" s="1">
        <v>29</v>
      </c>
      <c r="H109" s="15" t="s">
        <v>733</v>
      </c>
      <c r="I109" s="15" t="s">
        <v>734</v>
      </c>
      <c r="J109" s="15" t="s">
        <v>617</v>
      </c>
      <c r="K109" s="15" t="s">
        <v>547</v>
      </c>
      <c r="AB109" s="67" t="s">
        <v>530</v>
      </c>
      <c r="AC109" s="68" t="s">
        <v>734</v>
      </c>
      <c r="AD109" s="87" t="s">
        <v>732</v>
      </c>
      <c r="AE109" s="82"/>
      <c r="AF109" s="82"/>
      <c r="AG109" s="82"/>
      <c r="AH109" s="82"/>
      <c r="AI109" s="82">
        <v>2585.6209207129423</v>
      </c>
      <c r="AJ109" s="82">
        <v>2611.1006276344419</v>
      </c>
    </row>
    <row r="110" spans="2:36" ht="23.25" hidden="1" customHeight="1">
      <c r="B110" s="3" t="b">
        <v>0</v>
      </c>
      <c r="D110" s="1">
        <v>37</v>
      </c>
      <c r="H110" s="15" t="s">
        <v>727</v>
      </c>
      <c r="I110" s="15" t="s">
        <v>728</v>
      </c>
      <c r="J110" s="15" t="s">
        <v>617</v>
      </c>
      <c r="K110" s="15" t="s">
        <v>547</v>
      </c>
      <c r="AB110" s="83" t="s">
        <v>618</v>
      </c>
      <c r="AC110" s="84" t="s">
        <v>728</v>
      </c>
      <c r="AD110" s="85" t="s">
        <v>729</v>
      </c>
      <c r="AE110" s="86"/>
      <c r="AF110" s="86"/>
      <c r="AG110" s="86"/>
      <c r="AH110" s="86"/>
      <c r="AI110" s="86">
        <v>1248362.7211940621</v>
      </c>
      <c r="AJ110" s="86">
        <v>1275131.3168209365</v>
      </c>
    </row>
    <row r="111" spans="2:36" ht="23.25" hidden="1" customHeight="1">
      <c r="B111" s="3" t="b">
        <v>0</v>
      </c>
      <c r="D111" s="1">
        <v>37</v>
      </c>
      <c r="H111" s="15" t="s">
        <v>730</v>
      </c>
      <c r="I111" s="15" t="s">
        <v>731</v>
      </c>
      <c r="J111" s="15" t="s">
        <v>617</v>
      </c>
      <c r="K111" s="15" t="s">
        <v>547</v>
      </c>
      <c r="AB111" s="83" t="s">
        <v>622</v>
      </c>
      <c r="AC111" s="84" t="s">
        <v>731</v>
      </c>
      <c r="AD111" s="85" t="s">
        <v>732</v>
      </c>
      <c r="AE111" s="86"/>
      <c r="AF111" s="86"/>
      <c r="AG111" s="86"/>
      <c r="AH111" s="86"/>
      <c r="AI111" s="86">
        <v>0</v>
      </c>
      <c r="AJ111" s="86">
        <v>0</v>
      </c>
    </row>
    <row r="112" spans="2:36" ht="18" hidden="1" customHeight="1">
      <c r="B112" s="3" t="b">
        <v>0</v>
      </c>
      <c r="D112" s="1">
        <v>29</v>
      </c>
      <c r="H112" s="15" t="s">
        <v>733</v>
      </c>
      <c r="I112" s="15" t="s">
        <v>734</v>
      </c>
      <c r="J112" s="15" t="s">
        <v>617</v>
      </c>
      <c r="K112" s="15" t="s">
        <v>547</v>
      </c>
      <c r="AB112" s="67" t="s">
        <v>530</v>
      </c>
      <c r="AC112" s="68" t="s">
        <v>734</v>
      </c>
      <c r="AD112" s="87" t="s">
        <v>732</v>
      </c>
      <c r="AE112" s="82"/>
      <c r="AF112" s="82"/>
      <c r="AG112" s="82"/>
      <c r="AH112" s="82"/>
      <c r="AI112" s="82">
        <v>2064.8254273014054</v>
      </c>
      <c r="AJ112" s="82">
        <v>2115.1670568937752</v>
      </c>
    </row>
    <row r="113" spans="2:36" ht="23.25" hidden="1" customHeight="1">
      <c r="B113" s="3" t="b">
        <v>0</v>
      </c>
      <c r="D113" s="1">
        <v>37</v>
      </c>
      <c r="H113" s="15" t="s">
        <v>727</v>
      </c>
      <c r="I113" s="15" t="s">
        <v>728</v>
      </c>
      <c r="J113" s="15" t="s">
        <v>617</v>
      </c>
      <c r="K113" s="15" t="s">
        <v>547</v>
      </c>
      <c r="AB113" s="83" t="s">
        <v>618</v>
      </c>
      <c r="AC113" s="84" t="s">
        <v>728</v>
      </c>
      <c r="AD113" s="85" t="s">
        <v>729</v>
      </c>
      <c r="AE113" s="86"/>
      <c r="AF113" s="86"/>
      <c r="AG113" s="86"/>
      <c r="AH113" s="86"/>
      <c r="AI113" s="86">
        <v>1248362.7211940621</v>
      </c>
      <c r="AJ113" s="86">
        <v>1275131.3168209365</v>
      </c>
    </row>
    <row r="114" spans="2:36" ht="23.25" hidden="1" customHeight="1">
      <c r="B114" s="3" t="b">
        <v>0</v>
      </c>
      <c r="D114" s="1">
        <v>37</v>
      </c>
      <c r="H114" s="15" t="s">
        <v>730</v>
      </c>
      <c r="I114" s="15" t="s">
        <v>731</v>
      </c>
      <c r="J114" s="15" t="s">
        <v>617</v>
      </c>
      <c r="K114" s="15" t="s">
        <v>547</v>
      </c>
      <c r="AB114" s="83" t="s">
        <v>622</v>
      </c>
      <c r="AC114" s="84" t="s">
        <v>731</v>
      </c>
      <c r="AD114" s="85" t="s">
        <v>732</v>
      </c>
      <c r="AE114" s="86"/>
      <c r="AF114" s="86"/>
      <c r="AG114" s="86"/>
      <c r="AH114" s="86"/>
      <c r="AI114" s="86">
        <v>520.79549341153677</v>
      </c>
      <c r="AJ114" s="86">
        <v>495.93357074066643</v>
      </c>
    </row>
    <row r="115" spans="2:36" ht="18" hidden="1" customHeight="1">
      <c r="B115" s="3" t="b">
        <v>0</v>
      </c>
      <c r="D115" s="1">
        <v>29</v>
      </c>
      <c r="H115" s="15" t="s">
        <v>733</v>
      </c>
      <c r="I115" s="15" t="s">
        <v>734</v>
      </c>
      <c r="J115" s="15" t="s">
        <v>617</v>
      </c>
      <c r="K115" s="15" t="s">
        <v>547</v>
      </c>
      <c r="AB115" s="67" t="s">
        <v>530</v>
      </c>
      <c r="AC115" s="68" t="s">
        <v>734</v>
      </c>
      <c r="AD115" s="87" t="s">
        <v>732</v>
      </c>
      <c r="AE115" s="82"/>
      <c r="AF115" s="82"/>
      <c r="AG115" s="82"/>
      <c r="AH115" s="82"/>
      <c r="AI115" s="82">
        <v>2585.6209207129418</v>
      </c>
      <c r="AJ115" s="82">
        <v>2611.1006276344419</v>
      </c>
    </row>
    <row r="116" spans="2:36" ht="23.25" hidden="1" customHeight="1">
      <c r="B116" s="29" t="b">
        <v>0</v>
      </c>
      <c r="D116" s="1">
        <v>37</v>
      </c>
      <c r="H116" s="15" t="s">
        <v>727</v>
      </c>
      <c r="I116" s="15" t="s">
        <v>728</v>
      </c>
      <c r="J116" s="15" t="s">
        <v>617</v>
      </c>
      <c r="K116" s="15" t="s">
        <v>547</v>
      </c>
      <c r="AB116" s="83" t="s">
        <v>618</v>
      </c>
      <c r="AC116" s="84" t="s">
        <v>728</v>
      </c>
      <c r="AD116" s="85" t="s">
        <v>729</v>
      </c>
      <c r="AE116" s="86"/>
      <c r="AF116" s="86"/>
      <c r="AG116" s="86"/>
      <c r="AH116" s="86"/>
      <c r="AI116" s="86"/>
      <c r="AJ116" s="86"/>
    </row>
    <row r="117" spans="2:36" ht="23.25" hidden="1" customHeight="1">
      <c r="B117" s="29" t="b">
        <v>0</v>
      </c>
      <c r="D117" s="1">
        <v>37</v>
      </c>
      <c r="H117" s="15" t="s">
        <v>730</v>
      </c>
      <c r="I117" s="15" t="s">
        <v>731</v>
      </c>
      <c r="J117" s="15" t="s">
        <v>617</v>
      </c>
      <c r="K117" s="15" t="s">
        <v>547</v>
      </c>
      <c r="AB117" s="83" t="s">
        <v>622</v>
      </c>
      <c r="AC117" s="84" t="s">
        <v>731</v>
      </c>
      <c r="AD117" s="85" t="s">
        <v>732</v>
      </c>
      <c r="AE117" s="86"/>
      <c r="AF117" s="86"/>
      <c r="AG117" s="86"/>
      <c r="AH117" s="86"/>
      <c r="AI117" s="86"/>
      <c r="AJ117" s="86"/>
    </row>
    <row r="118" spans="2:36" ht="18" hidden="1" customHeight="1">
      <c r="B118" s="29" t="b">
        <v>0</v>
      </c>
      <c r="D118" s="1">
        <v>29</v>
      </c>
      <c r="H118" s="15" t="s">
        <v>733</v>
      </c>
      <c r="I118" s="15" t="s">
        <v>734</v>
      </c>
      <c r="J118" s="15" t="s">
        <v>617</v>
      </c>
      <c r="K118" s="15" t="s">
        <v>547</v>
      </c>
      <c r="AB118" s="67" t="s">
        <v>530</v>
      </c>
      <c r="AC118" s="68" t="s">
        <v>734</v>
      </c>
      <c r="AD118" s="87" t="s">
        <v>732</v>
      </c>
      <c r="AE118" s="82"/>
      <c r="AF118" s="82"/>
      <c r="AG118" s="82"/>
      <c r="AH118" s="82"/>
      <c r="AI118" s="82"/>
      <c r="AJ118" s="82"/>
    </row>
    <row r="119" spans="2:36" ht="27.75" customHeight="1">
      <c r="D119" s="1">
        <v>37</v>
      </c>
    </row>
    <row r="120" spans="2:36" ht="21.75" customHeight="1">
      <c r="D120" s="1">
        <v>29</v>
      </c>
      <c r="AB120" s="67"/>
      <c r="AC120" s="91" t="s">
        <v>743</v>
      </c>
      <c r="AD120" s="91"/>
      <c r="AE120" s="92"/>
      <c r="AF120" s="92"/>
      <c r="AG120" s="92"/>
      <c r="AH120" s="92"/>
      <c r="AI120" s="92"/>
      <c r="AJ120" s="93"/>
    </row>
    <row r="121" spans="2:36" ht="27.75" hidden="1" customHeight="1" outlineLevel="1">
      <c r="D121" s="1">
        <v>37</v>
      </c>
      <c r="AB121" s="83">
        <v>1</v>
      </c>
      <c r="AC121" s="6" t="s">
        <v>726</v>
      </c>
      <c r="AD121" s="94"/>
      <c r="AE121" s="94"/>
      <c r="AF121" s="94"/>
      <c r="AG121" s="94"/>
      <c r="AH121" s="94"/>
      <c r="AI121" s="94"/>
      <c r="AJ121" s="95"/>
    </row>
    <row r="122" spans="2:36" ht="27.75" hidden="1" customHeight="1" outlineLevel="1">
      <c r="D122" s="1">
        <v>37</v>
      </c>
      <c r="AB122" s="83" t="s">
        <v>618</v>
      </c>
      <c r="AC122" s="6" t="s">
        <v>728</v>
      </c>
      <c r="AD122" s="94"/>
      <c r="AE122" s="94"/>
      <c r="AF122" s="94"/>
      <c r="AG122" s="94"/>
      <c r="AH122" s="94"/>
      <c r="AI122" s="94"/>
      <c r="AJ122" s="95"/>
    </row>
    <row r="123" spans="2:36" ht="27.75" hidden="1" customHeight="1" outlineLevel="1">
      <c r="D123" s="1">
        <v>37</v>
      </c>
      <c r="H123" s="15" t="s">
        <v>727</v>
      </c>
      <c r="I123" s="15" t="s">
        <v>728</v>
      </c>
      <c r="J123" s="15" t="s">
        <v>617</v>
      </c>
      <c r="K123" s="15" t="s">
        <v>175</v>
      </c>
      <c r="AB123" s="83"/>
      <c r="AC123" s="84" t="s">
        <v>744</v>
      </c>
      <c r="AD123" s="85" t="s">
        <v>729</v>
      </c>
      <c r="AE123" s="89"/>
      <c r="AF123" s="89"/>
      <c r="AG123" s="89"/>
      <c r="AH123" s="89"/>
      <c r="AI123" s="89"/>
      <c r="AJ123" s="89"/>
    </row>
    <row r="124" spans="2:36" ht="27.75" hidden="1" customHeight="1" outlineLevel="1">
      <c r="D124" s="1">
        <v>37</v>
      </c>
      <c r="H124" s="15" t="s">
        <v>727</v>
      </c>
      <c r="I124" s="15" t="s">
        <v>728</v>
      </c>
      <c r="J124" s="15" t="s">
        <v>617</v>
      </c>
      <c r="K124" s="15" t="s">
        <v>183</v>
      </c>
      <c r="AB124" s="83"/>
      <c r="AC124" s="84" t="s">
        <v>745</v>
      </c>
      <c r="AD124" s="85" t="s">
        <v>729</v>
      </c>
      <c r="AE124" s="89"/>
      <c r="AF124" s="89"/>
      <c r="AG124" s="89"/>
      <c r="AH124" s="89"/>
      <c r="AI124" s="89"/>
      <c r="AJ124" s="89"/>
    </row>
    <row r="125" spans="2:36" ht="27.75" hidden="1" customHeight="1" outlineLevel="1">
      <c r="D125" s="1">
        <v>37</v>
      </c>
      <c r="H125" s="15" t="s">
        <v>727</v>
      </c>
      <c r="I125" s="15" t="s">
        <v>728</v>
      </c>
      <c r="J125" s="15" t="s">
        <v>617</v>
      </c>
      <c r="K125" s="15" t="s">
        <v>188</v>
      </c>
      <c r="AB125" s="83"/>
      <c r="AC125" s="84" t="s">
        <v>746</v>
      </c>
      <c r="AD125" s="85" t="s">
        <v>729</v>
      </c>
      <c r="AE125" s="89"/>
      <c r="AF125" s="89"/>
      <c r="AG125" s="89"/>
      <c r="AH125" s="89"/>
      <c r="AI125" s="89"/>
      <c r="AJ125" s="89"/>
    </row>
    <row r="126" spans="2:36" ht="27.75" hidden="1" customHeight="1" outlineLevel="1">
      <c r="D126" s="1">
        <v>37</v>
      </c>
      <c r="H126" s="15" t="s">
        <v>727</v>
      </c>
      <c r="I126" s="15" t="s">
        <v>728</v>
      </c>
      <c r="J126" s="15" t="s">
        <v>617</v>
      </c>
      <c r="K126" s="15" t="s">
        <v>194</v>
      </c>
      <c r="AB126" s="83"/>
      <c r="AC126" s="84" t="s">
        <v>747</v>
      </c>
      <c r="AD126" s="85" t="s">
        <v>729</v>
      </c>
      <c r="AE126" s="89"/>
      <c r="AF126" s="89"/>
      <c r="AG126" s="89"/>
      <c r="AH126" s="89"/>
      <c r="AI126" s="89"/>
      <c r="AJ126" s="89"/>
    </row>
    <row r="127" spans="2:36" ht="27.75" hidden="1" customHeight="1" outlineLevel="1">
      <c r="D127" s="1">
        <v>37</v>
      </c>
      <c r="AB127" s="83" t="s">
        <v>622</v>
      </c>
      <c r="AC127" s="6" t="s">
        <v>731</v>
      </c>
      <c r="AD127" s="94"/>
      <c r="AE127" s="94"/>
      <c r="AF127" s="94"/>
      <c r="AG127" s="94"/>
      <c r="AH127" s="94"/>
      <c r="AI127" s="94"/>
      <c r="AJ127" s="95"/>
    </row>
    <row r="128" spans="2:36" ht="27.75" hidden="1" customHeight="1" outlineLevel="1">
      <c r="D128" s="1">
        <v>37</v>
      </c>
      <c r="H128" s="15" t="s">
        <v>730</v>
      </c>
      <c r="I128" s="15" t="s">
        <v>731</v>
      </c>
      <c r="J128" s="15" t="s">
        <v>617</v>
      </c>
      <c r="K128" s="15" t="s">
        <v>175</v>
      </c>
      <c r="AB128" s="83"/>
      <c r="AC128" s="84" t="s">
        <v>744</v>
      </c>
      <c r="AD128" s="85" t="s">
        <v>732</v>
      </c>
      <c r="AE128" s="89"/>
      <c r="AF128" s="89"/>
      <c r="AG128" s="89"/>
      <c r="AH128" s="89"/>
      <c r="AI128" s="89"/>
      <c r="AJ128" s="89"/>
    </row>
    <row r="129" spans="4:37" ht="27.75" hidden="1" customHeight="1" outlineLevel="1">
      <c r="D129" s="1">
        <v>37</v>
      </c>
      <c r="H129" s="15" t="s">
        <v>730</v>
      </c>
      <c r="I129" s="15" t="s">
        <v>731</v>
      </c>
      <c r="J129" s="15" t="s">
        <v>617</v>
      </c>
      <c r="K129" s="15" t="s">
        <v>183</v>
      </c>
      <c r="AB129" s="83"/>
      <c r="AC129" s="84" t="s">
        <v>745</v>
      </c>
      <c r="AD129" s="85" t="s">
        <v>732</v>
      </c>
      <c r="AE129" s="89"/>
      <c r="AF129" s="89"/>
      <c r="AG129" s="89"/>
      <c r="AH129" s="89"/>
      <c r="AI129" s="89"/>
      <c r="AJ129" s="89"/>
    </row>
    <row r="130" spans="4:37" ht="27.75" hidden="1" customHeight="1" outlineLevel="1">
      <c r="D130" s="1">
        <v>37</v>
      </c>
      <c r="H130" s="15" t="s">
        <v>730</v>
      </c>
      <c r="I130" s="15" t="s">
        <v>731</v>
      </c>
      <c r="J130" s="15" t="s">
        <v>617</v>
      </c>
      <c r="K130" s="15" t="s">
        <v>188</v>
      </c>
      <c r="AB130" s="83"/>
      <c r="AC130" s="84" t="s">
        <v>746</v>
      </c>
      <c r="AD130" s="85" t="s">
        <v>732</v>
      </c>
      <c r="AE130" s="89"/>
      <c r="AF130" s="89"/>
      <c r="AG130" s="89"/>
      <c r="AH130" s="89"/>
      <c r="AI130" s="89"/>
      <c r="AJ130" s="89"/>
    </row>
    <row r="131" spans="4:37" ht="27.75" hidden="1" customHeight="1" outlineLevel="1">
      <c r="D131" s="1">
        <v>37</v>
      </c>
      <c r="H131" s="15" t="s">
        <v>730</v>
      </c>
      <c r="I131" s="15" t="s">
        <v>731</v>
      </c>
      <c r="J131" s="15" t="s">
        <v>617</v>
      </c>
      <c r="K131" s="15" t="s">
        <v>194</v>
      </c>
      <c r="AB131" s="83"/>
      <c r="AC131" s="84" t="s">
        <v>747</v>
      </c>
      <c r="AD131" s="85" t="s">
        <v>732</v>
      </c>
      <c r="AE131" s="89"/>
      <c r="AF131" s="89"/>
      <c r="AG131" s="89"/>
      <c r="AH131" s="89"/>
      <c r="AI131" s="89"/>
      <c r="AJ131" s="89"/>
    </row>
    <row r="132" spans="4:37" ht="21.75" hidden="1" customHeight="1" outlineLevel="1">
      <c r="D132" s="1">
        <v>29</v>
      </c>
      <c r="AB132" s="83" t="s">
        <v>530</v>
      </c>
      <c r="AC132" s="96" t="s">
        <v>734</v>
      </c>
      <c r="AD132" s="94"/>
      <c r="AE132" s="94"/>
      <c r="AF132" s="94"/>
      <c r="AG132" s="94"/>
      <c r="AH132" s="94"/>
      <c r="AI132" s="94"/>
      <c r="AJ132" s="95"/>
    </row>
    <row r="133" spans="4:37" ht="27.75" hidden="1" customHeight="1" outlineLevel="1">
      <c r="D133" s="1">
        <v>37</v>
      </c>
      <c r="H133" s="15" t="s">
        <v>733</v>
      </c>
      <c r="I133" s="15" t="s">
        <v>734</v>
      </c>
      <c r="J133" s="15" t="s">
        <v>617</v>
      </c>
      <c r="K133" s="15" t="s">
        <v>175</v>
      </c>
      <c r="AB133" s="83"/>
      <c r="AC133" s="84" t="s">
        <v>744</v>
      </c>
      <c r="AD133" s="85" t="s">
        <v>732</v>
      </c>
      <c r="AE133" s="89"/>
      <c r="AF133" s="89"/>
      <c r="AG133" s="89"/>
      <c r="AH133" s="89"/>
      <c r="AI133" s="89"/>
      <c r="AJ133" s="89"/>
    </row>
    <row r="134" spans="4:37" ht="27.75" hidden="1" customHeight="1" outlineLevel="1">
      <c r="D134" s="1">
        <v>37</v>
      </c>
      <c r="H134" s="15" t="s">
        <v>733</v>
      </c>
      <c r="I134" s="15" t="s">
        <v>734</v>
      </c>
      <c r="J134" s="15" t="s">
        <v>617</v>
      </c>
      <c r="K134" s="15" t="s">
        <v>183</v>
      </c>
      <c r="AB134" s="83"/>
      <c r="AC134" s="84" t="s">
        <v>745</v>
      </c>
      <c r="AD134" s="85" t="s">
        <v>732</v>
      </c>
      <c r="AE134" s="89"/>
      <c r="AF134" s="89"/>
      <c r="AG134" s="89"/>
      <c r="AH134" s="89"/>
      <c r="AI134" s="89"/>
      <c r="AJ134" s="89"/>
    </row>
    <row r="135" spans="4:37" ht="27.75" hidden="1" customHeight="1" outlineLevel="1">
      <c r="D135" s="1">
        <v>37</v>
      </c>
      <c r="H135" s="15" t="s">
        <v>733</v>
      </c>
      <c r="I135" s="15" t="s">
        <v>734</v>
      </c>
      <c r="J135" s="15" t="s">
        <v>617</v>
      </c>
      <c r="K135" s="15" t="s">
        <v>188</v>
      </c>
      <c r="AB135" s="83"/>
      <c r="AC135" s="84" t="s">
        <v>746</v>
      </c>
      <c r="AD135" s="85" t="s">
        <v>732</v>
      </c>
      <c r="AE135" s="89"/>
      <c r="AF135" s="89"/>
      <c r="AG135" s="89"/>
      <c r="AH135" s="89"/>
      <c r="AI135" s="89"/>
      <c r="AJ135" s="89"/>
    </row>
    <row r="136" spans="4:37" ht="27.75" hidden="1" customHeight="1" outlineLevel="1">
      <c r="D136" s="1">
        <v>37</v>
      </c>
      <c r="H136" s="15" t="s">
        <v>733</v>
      </c>
      <c r="I136" s="15" t="s">
        <v>734</v>
      </c>
      <c r="J136" s="15" t="s">
        <v>617</v>
      </c>
      <c r="K136" s="15" t="s">
        <v>194</v>
      </c>
      <c r="AB136" s="83"/>
      <c r="AC136" s="84" t="s">
        <v>747</v>
      </c>
      <c r="AD136" s="85" t="s">
        <v>732</v>
      </c>
      <c r="AE136" s="89"/>
      <c r="AF136" s="89"/>
      <c r="AG136" s="89"/>
      <c r="AH136" s="89"/>
      <c r="AI136" s="89"/>
      <c r="AJ136" s="89"/>
    </row>
    <row r="137" spans="4:37" ht="27.75" customHeight="1" collapsed="1">
      <c r="D137" s="1">
        <v>37</v>
      </c>
    </row>
    <row r="138" spans="4:37" ht="27.75" customHeight="1">
      <c r="D138" s="1">
        <v>37</v>
      </c>
      <c r="AB138" s="815" t="s">
        <v>748</v>
      </c>
      <c r="AC138" s="781"/>
      <c r="AD138" s="781"/>
      <c r="AE138" s="781"/>
      <c r="AF138" s="781"/>
      <c r="AG138" s="781"/>
      <c r="AH138" s="781"/>
      <c r="AI138" s="781"/>
    </row>
    <row r="139" spans="4:37" ht="27.75" customHeight="1">
      <c r="D139" s="1">
        <v>37</v>
      </c>
      <c r="AB139" s="815" t="s">
        <v>749</v>
      </c>
      <c r="AC139" s="781"/>
      <c r="AD139" s="781"/>
      <c r="AE139" s="781"/>
      <c r="AF139" s="781"/>
      <c r="AG139" s="781"/>
      <c r="AH139" s="781"/>
      <c r="AI139" s="781"/>
    </row>
    <row r="140" spans="4:37" ht="27.75" customHeight="1">
      <c r="D140" s="1">
        <v>37</v>
      </c>
      <c r="AB140" s="815" t="s">
        <v>750</v>
      </c>
      <c r="AC140" s="781"/>
      <c r="AD140" s="781"/>
      <c r="AE140" s="781"/>
      <c r="AF140" s="781"/>
      <c r="AG140" s="781"/>
      <c r="AH140" s="781"/>
      <c r="AI140" s="781"/>
    </row>
    <row r="141" spans="4:37" ht="27.75" customHeight="1">
      <c r="D141" s="1">
        <v>37</v>
      </c>
      <c r="AB141" s="815" t="s">
        <v>751</v>
      </c>
      <c r="AC141" s="781"/>
      <c r="AD141" s="781"/>
      <c r="AE141" s="781"/>
      <c r="AF141" s="781"/>
      <c r="AG141" s="781"/>
      <c r="AH141" s="781"/>
      <c r="AI141" s="781"/>
    </row>
    <row r="142" spans="4:37" ht="11.25" hidden="1" customHeight="1">
      <c r="D142">
        <v>0</v>
      </c>
      <c r="AK142" t="s">
        <v>42</v>
      </c>
    </row>
  </sheetData>
  <sheetProtection formatColumns="0" formatRows="0" insertRows="0" deleteColumns="0" deleteRows="0" sort="0" autoFilter="0"/>
  <mergeCells count="42">
    <mergeCell ref="AB83:AJ83"/>
    <mergeCell ref="AB44:AG44"/>
    <mergeCell ref="AB47:AG47"/>
    <mergeCell ref="AB138:AI138"/>
    <mergeCell ref="AB139:AI139"/>
    <mergeCell ref="AC73:AD73"/>
    <mergeCell ref="AB140:AI140"/>
    <mergeCell ref="AB141:AI141"/>
    <mergeCell ref="AD85:AD86"/>
    <mergeCell ref="AE85:AF85"/>
    <mergeCell ref="AG85:AH85"/>
    <mergeCell ref="AI85:AJ85"/>
    <mergeCell ref="AB85:AC86"/>
    <mergeCell ref="AB87:AD87"/>
    <mergeCell ref="AB29:AG29"/>
    <mergeCell ref="AB27:AF27"/>
    <mergeCell ref="AD39:AG39"/>
    <mergeCell ref="AD33:AG33"/>
    <mergeCell ref="AD34:AG34"/>
    <mergeCell ref="AD35:AG35"/>
    <mergeCell ref="AD36:AG36"/>
    <mergeCell ref="AD31:AG32"/>
    <mergeCell ref="AB38:AC38"/>
    <mergeCell ref="AB39:AC39"/>
    <mergeCell ref="AB31:AC32"/>
    <mergeCell ref="AB33:AC33"/>
    <mergeCell ref="AB34:AC34"/>
    <mergeCell ref="AB35:AC35"/>
    <mergeCell ref="AB36:AC36"/>
    <mergeCell ref="AB40:AC40"/>
    <mergeCell ref="AB41:AC41"/>
    <mergeCell ref="AB46:AC46"/>
    <mergeCell ref="AD40:AG40"/>
    <mergeCell ref="AD37:AG37"/>
    <mergeCell ref="AD38:AG38"/>
    <mergeCell ref="AB37:AC37"/>
    <mergeCell ref="AD41:AG41"/>
    <mergeCell ref="AB26:AF26"/>
    <mergeCell ref="AB21:AF21"/>
    <mergeCell ref="AB22:AF22"/>
    <mergeCell ref="AB23:AF23"/>
    <mergeCell ref="AB24:AF24"/>
  </mergeCells>
  <dataValidations count="1">
    <dataValidation type="decimal" allowBlank="1" showErrorMessage="1" errorTitle="Ошибка" error="Допускается ввод только неотрицательных чисел!" sqref="AE89:AJ118 AE123:AJ126 AE128:AJ131 AE133:AJ136" xr:uid="{00000000-0002-0000-0900-000000000000}">
      <formula1>0</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D1:K93"/>
  <sheetViews>
    <sheetView showGridLines="0" workbookViewId="0"/>
  </sheetViews>
  <sheetFormatPr defaultColWidth="9.140625" defaultRowHeight="11.45" customHeight="1"/>
  <cols>
    <col min="1" max="1" width="6.28515625" customWidth="1"/>
    <col min="5" max="5" width="31.140625" customWidth="1"/>
    <col min="6" max="11" width="15.5703125" customWidth="1"/>
  </cols>
  <sheetData>
    <row r="1" spans="4:11" ht="15.75" customHeight="1"/>
    <row r="2" spans="4:11" ht="20.25" customHeight="1"/>
    <row r="3" spans="4:11" ht="27.75" customHeight="1">
      <c r="J3" s="781"/>
      <c r="K3" s="781"/>
    </row>
    <row r="4" spans="4:11" ht="26.25" customHeight="1">
      <c r="D4" s="831"/>
      <c r="E4" s="831"/>
      <c r="F4" s="831"/>
      <c r="G4" s="831"/>
      <c r="H4" s="831"/>
      <c r="I4" s="831"/>
      <c r="J4" s="831"/>
      <c r="K4" s="831"/>
    </row>
    <row r="5" spans="4:11" ht="18.75" customHeight="1"/>
    <row r="6" spans="4:11" ht="32.25" customHeight="1">
      <c r="D6" s="827" t="s">
        <v>772</v>
      </c>
      <c r="E6" s="97" t="s">
        <v>41</v>
      </c>
      <c r="F6" s="827" t="s">
        <v>773</v>
      </c>
      <c r="G6" s="827"/>
      <c r="H6" s="827" t="s">
        <v>774</v>
      </c>
      <c r="I6" s="827"/>
      <c r="J6" s="827" t="s">
        <v>775</v>
      </c>
      <c r="K6" s="827"/>
    </row>
    <row r="7" spans="4:11" ht="63.75" customHeight="1">
      <c r="D7" s="827"/>
      <c r="E7" s="97" t="s">
        <v>609</v>
      </c>
      <c r="F7" s="97" t="s">
        <v>776</v>
      </c>
      <c r="G7" s="97" t="s">
        <v>777</v>
      </c>
      <c r="H7" s="97" t="s">
        <v>778</v>
      </c>
      <c r="I7" s="97" t="s">
        <v>777</v>
      </c>
      <c r="J7" s="97" t="s">
        <v>775</v>
      </c>
      <c r="K7" s="97" t="s">
        <v>777</v>
      </c>
    </row>
    <row r="8" spans="4:11" ht="23.25" customHeight="1">
      <c r="D8" s="827"/>
      <c r="E8" s="97" t="s">
        <v>779</v>
      </c>
      <c r="F8" s="97" t="s">
        <v>780</v>
      </c>
      <c r="G8" s="97" t="s">
        <v>781</v>
      </c>
      <c r="H8" s="97" t="s">
        <v>782</v>
      </c>
      <c r="I8" s="97" t="s">
        <v>783</v>
      </c>
      <c r="J8" s="97" t="s">
        <v>780</v>
      </c>
      <c r="K8" s="97" t="s">
        <v>784</v>
      </c>
    </row>
    <row r="9" spans="4:11" ht="11.25" customHeight="1">
      <c r="D9" s="97">
        <v>2</v>
      </c>
      <c r="E9" s="97" t="s">
        <v>785</v>
      </c>
      <c r="F9" s="97">
        <v>-1.4</v>
      </c>
      <c r="G9" s="97">
        <v>1.0049999999999999</v>
      </c>
      <c r="H9" s="97">
        <v>15</v>
      </c>
      <c r="I9" s="97">
        <v>1.071</v>
      </c>
      <c r="J9" s="97">
        <v>75</v>
      </c>
      <c r="K9" s="97">
        <v>1.0629999999999999</v>
      </c>
    </row>
    <row r="10" spans="4:11" ht="11.25" customHeight="1">
      <c r="D10" s="97">
        <v>4</v>
      </c>
      <c r="E10" s="97" t="s">
        <v>29</v>
      </c>
      <c r="F10" s="97">
        <v>-22.8</v>
      </c>
      <c r="G10" s="97">
        <v>1.0580000000000001</v>
      </c>
      <c r="H10" s="97">
        <v>10</v>
      </c>
      <c r="I10" s="97">
        <v>1.0409999999999999</v>
      </c>
      <c r="J10" s="97">
        <v>85</v>
      </c>
      <c r="K10" s="97">
        <v>1.0880000000000001</v>
      </c>
    </row>
    <row r="11" spans="4:11" ht="15" customHeight="1">
      <c r="D11" s="97">
        <v>5</v>
      </c>
      <c r="E11" s="97" t="s">
        <v>786</v>
      </c>
      <c r="F11" s="97">
        <v>-16.2</v>
      </c>
      <c r="G11" s="97">
        <v>1.042</v>
      </c>
      <c r="H11" s="97">
        <v>15</v>
      </c>
      <c r="I11" s="97">
        <v>1.071</v>
      </c>
      <c r="J11" s="97">
        <v>60</v>
      </c>
      <c r="K11" s="97">
        <v>1.0249999999999999</v>
      </c>
    </row>
    <row r="12" spans="4:11" ht="20.25" customHeight="1">
      <c r="D12" s="97">
        <v>7</v>
      </c>
      <c r="E12" s="97" t="s">
        <v>787</v>
      </c>
      <c r="F12" s="97">
        <v>-23.8</v>
      </c>
      <c r="G12" s="97">
        <v>1.0609999999999999</v>
      </c>
      <c r="H12" s="97">
        <v>10</v>
      </c>
      <c r="I12" s="97">
        <v>1.0409999999999999</v>
      </c>
      <c r="J12" s="97">
        <v>90</v>
      </c>
      <c r="K12" s="97">
        <v>1.1000000000000001</v>
      </c>
    </row>
    <row r="13" spans="4:11" ht="10.5" customHeight="1">
      <c r="D13" s="97">
        <v>8</v>
      </c>
      <c r="E13" s="97" t="s">
        <v>788</v>
      </c>
      <c r="F13" s="97">
        <v>0.6</v>
      </c>
      <c r="G13" s="97">
        <v>1</v>
      </c>
      <c r="H13" s="97">
        <v>5</v>
      </c>
      <c r="I13" s="97">
        <v>1.012</v>
      </c>
      <c r="J13" s="97">
        <v>75</v>
      </c>
      <c r="K13" s="97">
        <v>1.0629999999999999</v>
      </c>
    </row>
    <row r="14" spans="4:11" ht="34.5" customHeight="1">
      <c r="D14" s="97">
        <v>10</v>
      </c>
      <c r="E14" s="97" t="s">
        <v>789</v>
      </c>
      <c r="F14" s="97">
        <v>-2.2000000000000002</v>
      </c>
      <c r="G14" s="97">
        <v>1.0069999999999999</v>
      </c>
      <c r="H14" s="97">
        <v>20</v>
      </c>
      <c r="I14" s="97">
        <v>1.1000000000000001</v>
      </c>
      <c r="J14" s="97">
        <v>80</v>
      </c>
      <c r="K14" s="97">
        <v>1.075</v>
      </c>
    </row>
    <row r="15" spans="4:11" ht="11.25" customHeight="1">
      <c r="D15" s="97">
        <v>12</v>
      </c>
      <c r="E15" s="97" t="s">
        <v>790</v>
      </c>
      <c r="F15" s="97">
        <v>-4</v>
      </c>
      <c r="G15" s="97">
        <v>1.0109999999999999</v>
      </c>
      <c r="H15" s="97">
        <v>20</v>
      </c>
      <c r="I15" s="97">
        <v>1.1000000000000001</v>
      </c>
      <c r="J15" s="97">
        <v>80</v>
      </c>
      <c r="K15" s="97">
        <v>1.075</v>
      </c>
    </row>
    <row r="16" spans="4:11" ht="11.25" customHeight="1">
      <c r="D16" s="97">
        <v>13</v>
      </c>
      <c r="E16" s="97" t="s">
        <v>30</v>
      </c>
      <c r="F16" s="97">
        <v>-5</v>
      </c>
      <c r="G16" s="97">
        <v>1.014</v>
      </c>
      <c r="H16" s="97">
        <v>15</v>
      </c>
      <c r="I16" s="97">
        <v>1.071</v>
      </c>
      <c r="J16" s="97">
        <v>75</v>
      </c>
      <c r="K16" s="97">
        <v>1.0629999999999999</v>
      </c>
    </row>
    <row r="17" spans="4:11" ht="11.25" customHeight="1">
      <c r="D17" s="97">
        <v>15</v>
      </c>
      <c r="E17" s="97" t="s">
        <v>791</v>
      </c>
      <c r="F17" s="97">
        <v>-4.4000000000000004</v>
      </c>
      <c r="G17" s="97">
        <v>1.012</v>
      </c>
      <c r="H17" s="97">
        <v>20</v>
      </c>
      <c r="I17" s="97">
        <v>1.1000000000000001</v>
      </c>
      <c r="J17" s="97">
        <v>80</v>
      </c>
      <c r="K17" s="97">
        <v>1.075</v>
      </c>
    </row>
    <row r="18" spans="4:11" ht="11.25" customHeight="1">
      <c r="D18" s="97">
        <v>16</v>
      </c>
      <c r="E18" s="97" t="s">
        <v>31</v>
      </c>
      <c r="F18" s="97">
        <v>-10.3</v>
      </c>
      <c r="G18" s="97">
        <v>1.0269999999999999</v>
      </c>
      <c r="H18" s="97">
        <v>5</v>
      </c>
      <c r="I18" s="97">
        <v>1.012</v>
      </c>
      <c r="J18" s="97">
        <v>75</v>
      </c>
      <c r="K18" s="97">
        <v>1.0629999999999999</v>
      </c>
    </row>
    <row r="19" spans="4:11" ht="11.25" customHeight="1">
      <c r="D19" s="97">
        <v>18</v>
      </c>
      <c r="E19" s="97" t="s">
        <v>792</v>
      </c>
      <c r="F19" s="97">
        <v>-15.2</v>
      </c>
      <c r="G19" s="97">
        <v>1.0389999999999999</v>
      </c>
      <c r="H19" s="97">
        <v>5</v>
      </c>
      <c r="I19" s="97">
        <v>1.012</v>
      </c>
      <c r="J19" s="97">
        <v>60</v>
      </c>
      <c r="K19" s="97">
        <v>1.0249999999999999</v>
      </c>
    </row>
    <row r="20" spans="4:11" ht="19.5" customHeight="1">
      <c r="D20" s="97">
        <v>20</v>
      </c>
      <c r="E20" s="97" t="s">
        <v>793</v>
      </c>
      <c r="F20" s="97">
        <v>-12.1</v>
      </c>
      <c r="G20" s="97">
        <v>1.032</v>
      </c>
      <c r="H20" s="97">
        <v>5</v>
      </c>
      <c r="I20" s="97">
        <v>1.012</v>
      </c>
      <c r="J20" s="97">
        <v>60</v>
      </c>
      <c r="K20" s="97">
        <v>1.0249999999999999</v>
      </c>
    </row>
    <row r="21" spans="4:11" ht="25.5" customHeight="1">
      <c r="D21" s="97">
        <v>21</v>
      </c>
      <c r="E21" s="97" t="s">
        <v>794</v>
      </c>
      <c r="F21" s="97">
        <v>-12.3</v>
      </c>
      <c r="G21" s="97">
        <v>1.032</v>
      </c>
      <c r="H21" s="97">
        <v>10</v>
      </c>
      <c r="I21" s="97">
        <v>1.0409999999999999</v>
      </c>
      <c r="J21" s="97">
        <v>65</v>
      </c>
      <c r="K21" s="97">
        <v>1.038</v>
      </c>
    </row>
    <row r="22" spans="4:11" ht="45" customHeight="1">
      <c r="D22" s="97">
        <v>23</v>
      </c>
      <c r="E22" s="97" t="s">
        <v>795</v>
      </c>
      <c r="F22" s="97">
        <v>-39.6</v>
      </c>
      <c r="G22" s="97">
        <v>1.1000000000000001</v>
      </c>
      <c r="H22" s="97">
        <v>5</v>
      </c>
      <c r="I22" s="97">
        <v>1.012</v>
      </c>
      <c r="J22" s="97">
        <v>50</v>
      </c>
      <c r="K22" s="97">
        <v>1</v>
      </c>
    </row>
    <row r="23" spans="4:11" ht="45" customHeight="1">
      <c r="D23" s="97">
        <v>24</v>
      </c>
      <c r="E23" s="97" t="s">
        <v>796</v>
      </c>
      <c r="F23" s="97">
        <v>-2.9</v>
      </c>
      <c r="G23" s="97">
        <v>1.0089999999999999</v>
      </c>
      <c r="H23" s="97">
        <v>20</v>
      </c>
      <c r="I23" s="97">
        <v>1.1000000000000001</v>
      </c>
      <c r="J23" s="97">
        <v>80</v>
      </c>
      <c r="K23" s="97">
        <v>1.075</v>
      </c>
    </row>
    <row r="24" spans="4:11" ht="23.25" customHeight="1">
      <c r="D24" s="97">
        <v>26</v>
      </c>
      <c r="E24" s="97" t="s">
        <v>33</v>
      </c>
      <c r="F24" s="97">
        <v>-11.6</v>
      </c>
      <c r="G24" s="97">
        <v>1.03</v>
      </c>
      <c r="H24" s="97">
        <v>5</v>
      </c>
      <c r="I24" s="97">
        <v>1.012</v>
      </c>
      <c r="J24" s="97">
        <v>60</v>
      </c>
      <c r="K24" s="97">
        <v>1.0249999999999999</v>
      </c>
    </row>
    <row r="25" spans="4:11" ht="11.25" customHeight="1">
      <c r="D25" s="97">
        <v>28</v>
      </c>
      <c r="E25" s="97" t="s">
        <v>797</v>
      </c>
      <c r="F25" s="97">
        <v>-29.3</v>
      </c>
      <c r="G25" s="97">
        <v>1.0740000000000001</v>
      </c>
      <c r="H25" s="97">
        <v>5</v>
      </c>
      <c r="I25" s="97">
        <v>1.012</v>
      </c>
      <c r="J25" s="97">
        <v>90</v>
      </c>
      <c r="K25" s="97">
        <v>1.1000000000000001</v>
      </c>
    </row>
    <row r="26" spans="4:11" ht="11.25" customHeight="1">
      <c r="D26" s="97">
        <v>29</v>
      </c>
      <c r="E26" s="97" t="s">
        <v>798</v>
      </c>
      <c r="F26" s="97">
        <v>-13.4</v>
      </c>
      <c r="G26" s="97">
        <v>1.0349999999999999</v>
      </c>
      <c r="H26" s="97">
        <v>5</v>
      </c>
      <c r="I26" s="97">
        <v>1.012</v>
      </c>
      <c r="J26" s="97">
        <v>60</v>
      </c>
      <c r="K26" s="97">
        <v>1.0249999999999999</v>
      </c>
    </row>
    <row r="27" spans="4:11" ht="11.25" customHeight="1">
      <c r="D27" s="97">
        <v>31</v>
      </c>
      <c r="E27" s="97" t="s">
        <v>34</v>
      </c>
      <c r="F27" s="97">
        <v>-19.600000000000001</v>
      </c>
      <c r="G27" s="97">
        <v>1.05</v>
      </c>
      <c r="H27" s="97">
        <v>5</v>
      </c>
      <c r="I27" s="97">
        <v>1.012</v>
      </c>
      <c r="J27" s="97">
        <v>75</v>
      </c>
      <c r="K27" s="97">
        <v>1.0629999999999999</v>
      </c>
    </row>
    <row r="28" spans="4:11" ht="11.25" customHeight="1">
      <c r="D28" s="97">
        <v>32</v>
      </c>
      <c r="E28" s="97" t="s">
        <v>799</v>
      </c>
      <c r="F28" s="97">
        <v>-2.2000000000000002</v>
      </c>
      <c r="G28" s="97">
        <v>1.0069999999999999</v>
      </c>
      <c r="H28" s="97">
        <v>20</v>
      </c>
      <c r="I28" s="97">
        <v>1.1000000000000001</v>
      </c>
      <c r="J28" s="97">
        <v>80</v>
      </c>
      <c r="K28" s="97">
        <v>1.075</v>
      </c>
    </row>
    <row r="29" spans="4:11" ht="11.25" customHeight="1">
      <c r="D29" s="97">
        <v>34</v>
      </c>
      <c r="E29" s="97" t="s">
        <v>39</v>
      </c>
      <c r="F29" s="97">
        <v>-13</v>
      </c>
      <c r="G29" s="97">
        <v>1.034</v>
      </c>
      <c r="H29" s="97">
        <v>5</v>
      </c>
      <c r="I29" s="97">
        <v>1.012</v>
      </c>
      <c r="J29" s="97">
        <v>60</v>
      </c>
      <c r="K29" s="97">
        <v>1.0249999999999999</v>
      </c>
    </row>
    <row r="30" spans="4:11" ht="11.25" customHeight="1">
      <c r="D30" s="97">
        <v>36</v>
      </c>
      <c r="E30" s="97" t="s">
        <v>21</v>
      </c>
      <c r="F30" s="97">
        <v>-17.5</v>
      </c>
      <c r="G30" s="97">
        <v>1.0449999999999999</v>
      </c>
      <c r="H30" s="97">
        <v>15</v>
      </c>
      <c r="I30" s="97">
        <v>1.071</v>
      </c>
      <c r="J30" s="97">
        <v>75</v>
      </c>
      <c r="K30" s="97">
        <v>1.0629999999999999</v>
      </c>
    </row>
    <row r="31" spans="4:11" ht="11.25" customHeight="1">
      <c r="D31" s="97">
        <v>37</v>
      </c>
      <c r="E31" s="97" t="s">
        <v>800</v>
      </c>
      <c r="F31" s="97">
        <v>-25.6</v>
      </c>
      <c r="G31" s="97">
        <v>1.0649999999999999</v>
      </c>
      <c r="H31" s="97">
        <v>10</v>
      </c>
      <c r="I31" s="97">
        <v>1.0409999999999999</v>
      </c>
      <c r="J31" s="97">
        <v>90</v>
      </c>
      <c r="K31" s="97">
        <v>1.1000000000000001</v>
      </c>
    </row>
    <row r="32" spans="4:11" ht="11.25" customHeight="1">
      <c r="D32" s="97">
        <v>39</v>
      </c>
      <c r="E32" s="97" t="s">
        <v>801</v>
      </c>
      <c r="F32" s="97">
        <v>-0.2</v>
      </c>
      <c r="G32" s="97">
        <v>1.002</v>
      </c>
      <c r="H32" s="97">
        <v>15</v>
      </c>
      <c r="I32" s="97">
        <v>1.071</v>
      </c>
      <c r="J32" s="97">
        <v>75</v>
      </c>
      <c r="K32" s="97">
        <v>1.0629999999999999</v>
      </c>
    </row>
    <row r="33" spans="4:11" ht="11.25" customHeight="1">
      <c r="D33" s="97">
        <v>40</v>
      </c>
      <c r="E33" s="97" t="s">
        <v>26</v>
      </c>
      <c r="F33" s="97">
        <v>-16</v>
      </c>
      <c r="G33" s="97">
        <v>1.0409999999999999</v>
      </c>
      <c r="H33" s="97">
        <v>10</v>
      </c>
      <c r="I33" s="97">
        <v>1.0409999999999999</v>
      </c>
      <c r="J33" s="97">
        <v>75</v>
      </c>
      <c r="K33" s="97">
        <v>1.0629999999999999</v>
      </c>
    </row>
    <row r="34" spans="4:11" ht="11.25" customHeight="1">
      <c r="D34" s="97">
        <v>42</v>
      </c>
      <c r="E34" s="97" t="s">
        <v>5</v>
      </c>
      <c r="F34" s="97">
        <v>-13.9</v>
      </c>
      <c r="G34" s="97">
        <v>1.036</v>
      </c>
      <c r="H34" s="97">
        <v>5</v>
      </c>
      <c r="I34" s="97">
        <v>1.012</v>
      </c>
      <c r="J34" s="97">
        <v>60</v>
      </c>
      <c r="K34" s="97">
        <v>1.0249999999999999</v>
      </c>
    </row>
    <row r="35" spans="4:11" ht="11.25" customHeight="1">
      <c r="D35" s="97">
        <v>44</v>
      </c>
      <c r="E35" s="97" t="s">
        <v>802</v>
      </c>
      <c r="F35" s="97">
        <v>-12.6</v>
      </c>
      <c r="G35" s="97">
        <v>1.0329999999999999</v>
      </c>
      <c r="H35" s="97">
        <v>15</v>
      </c>
      <c r="I35" s="97">
        <v>1.071</v>
      </c>
      <c r="J35" s="97">
        <v>55</v>
      </c>
      <c r="K35" s="97">
        <v>1.0129999999999999</v>
      </c>
    </row>
    <row r="36" spans="4:11" ht="11.25" customHeight="1">
      <c r="D36" s="97">
        <v>45</v>
      </c>
      <c r="E36" s="97" t="s">
        <v>130</v>
      </c>
      <c r="F36" s="97">
        <v>-2.9</v>
      </c>
      <c r="G36" s="97">
        <v>1.0089999999999999</v>
      </c>
      <c r="H36" s="97">
        <v>20</v>
      </c>
      <c r="I36" s="97">
        <v>1.1000000000000001</v>
      </c>
      <c r="J36" s="97">
        <v>80</v>
      </c>
      <c r="K36" s="97">
        <v>1.075</v>
      </c>
    </row>
    <row r="37" spans="4:11" ht="11.25" customHeight="1">
      <c r="D37" s="97">
        <v>47</v>
      </c>
      <c r="E37" s="97" t="s">
        <v>803</v>
      </c>
      <c r="F37" s="97">
        <v>-20.2</v>
      </c>
      <c r="G37" s="97">
        <v>1.052</v>
      </c>
      <c r="H37" s="97">
        <v>10</v>
      </c>
      <c r="I37" s="97">
        <v>1.0409999999999999</v>
      </c>
      <c r="J37" s="97">
        <v>50</v>
      </c>
      <c r="K37" s="97">
        <v>1</v>
      </c>
    </row>
    <row r="38" spans="4:11" ht="11.25" customHeight="1">
      <c r="D38" s="97">
        <v>48</v>
      </c>
      <c r="E38" s="97" t="s">
        <v>804</v>
      </c>
      <c r="F38" s="97">
        <v>-22.3</v>
      </c>
      <c r="G38" s="97">
        <v>1.0569999999999999</v>
      </c>
      <c r="H38" s="97">
        <v>5</v>
      </c>
      <c r="I38" s="97">
        <v>1.012</v>
      </c>
      <c r="J38" s="97">
        <v>65</v>
      </c>
      <c r="K38" s="97">
        <v>1.038</v>
      </c>
    </row>
    <row r="39" spans="4:11" ht="11.25" customHeight="1">
      <c r="D39" s="97">
        <v>50</v>
      </c>
      <c r="E39" s="97" t="s">
        <v>22</v>
      </c>
      <c r="F39" s="97">
        <v>-13.6</v>
      </c>
      <c r="G39" s="97">
        <v>1.0349999999999999</v>
      </c>
      <c r="H39" s="97">
        <v>3</v>
      </c>
      <c r="I39" s="97">
        <v>1</v>
      </c>
      <c r="J39" s="97">
        <v>65</v>
      </c>
      <c r="K39" s="97">
        <v>1.038</v>
      </c>
    </row>
    <row r="40" spans="4:11" ht="11.25" customHeight="1">
      <c r="D40" s="97">
        <v>52</v>
      </c>
      <c r="E40" s="97" t="s">
        <v>805</v>
      </c>
      <c r="F40" s="97">
        <v>-4.8</v>
      </c>
      <c r="G40" s="97">
        <v>1.0129999999999999</v>
      </c>
      <c r="H40" s="97">
        <v>5</v>
      </c>
      <c r="I40" s="97">
        <v>1.012</v>
      </c>
      <c r="J40" s="97">
        <v>70</v>
      </c>
      <c r="K40" s="97">
        <v>1.05</v>
      </c>
    </row>
    <row r="41" spans="4:11" ht="11.25" customHeight="1">
      <c r="D41" s="97">
        <v>53</v>
      </c>
      <c r="E41" s="97" t="s">
        <v>3</v>
      </c>
      <c r="F41" s="97">
        <v>-8.5</v>
      </c>
      <c r="G41" s="97">
        <v>1.0229999999999999</v>
      </c>
      <c r="H41" s="97">
        <v>15</v>
      </c>
      <c r="I41" s="97">
        <v>1.071</v>
      </c>
      <c r="J41" s="97">
        <v>65</v>
      </c>
      <c r="K41" s="97">
        <v>1.038</v>
      </c>
    </row>
    <row r="42" spans="4:11" ht="11.25" customHeight="1">
      <c r="D42" s="97">
        <v>55</v>
      </c>
      <c r="E42" s="97" t="s">
        <v>806</v>
      </c>
      <c r="F42" s="97">
        <v>-7.4</v>
      </c>
      <c r="G42" s="97">
        <v>1.02</v>
      </c>
      <c r="H42" s="97">
        <v>5</v>
      </c>
      <c r="I42" s="97">
        <v>1.012</v>
      </c>
      <c r="J42" s="97">
        <v>65</v>
      </c>
      <c r="K42" s="97">
        <v>1.038</v>
      </c>
    </row>
    <row r="43" spans="4:11" ht="11.25" customHeight="1">
      <c r="D43" s="97">
        <v>56</v>
      </c>
      <c r="E43" s="97" t="s">
        <v>807</v>
      </c>
      <c r="F43" s="97">
        <v>-11.1</v>
      </c>
      <c r="G43" s="97">
        <v>1.0289999999999999</v>
      </c>
      <c r="H43" s="97">
        <v>5</v>
      </c>
      <c r="I43" s="97">
        <v>1.012</v>
      </c>
      <c r="J43" s="97">
        <v>65</v>
      </c>
      <c r="K43" s="97">
        <v>1.038</v>
      </c>
    </row>
    <row r="44" spans="4:11" ht="11.25" customHeight="1">
      <c r="D44" s="97">
        <v>58</v>
      </c>
      <c r="E44" s="97" t="s">
        <v>23</v>
      </c>
      <c r="F44" s="97">
        <v>-6.9</v>
      </c>
      <c r="G44" s="97">
        <v>1.0189999999999999</v>
      </c>
      <c r="H44" s="97">
        <v>10</v>
      </c>
      <c r="I44" s="97">
        <v>1.0409999999999999</v>
      </c>
      <c r="J44" s="97">
        <v>65</v>
      </c>
      <c r="K44" s="97">
        <v>1.038</v>
      </c>
    </row>
    <row r="45" spans="4:11" ht="11.25" customHeight="1">
      <c r="D45" s="97">
        <v>60</v>
      </c>
      <c r="E45" s="97" t="s">
        <v>808</v>
      </c>
      <c r="F45" s="97">
        <v>-11.7</v>
      </c>
      <c r="G45" s="97">
        <v>1.0309999999999999</v>
      </c>
      <c r="H45" s="97">
        <v>3</v>
      </c>
      <c r="I45" s="97">
        <v>1</v>
      </c>
      <c r="J45" s="97">
        <v>65</v>
      </c>
      <c r="K45" s="97">
        <v>1.038</v>
      </c>
    </row>
    <row r="46" spans="4:11" ht="11.25" customHeight="1">
      <c r="D46" s="97">
        <v>61</v>
      </c>
      <c r="E46" s="97" t="s">
        <v>809</v>
      </c>
      <c r="F46" s="97">
        <v>-7.5</v>
      </c>
      <c r="G46" s="97">
        <v>1.02</v>
      </c>
      <c r="H46" s="97">
        <v>10</v>
      </c>
      <c r="I46" s="97">
        <v>1.0409999999999999</v>
      </c>
      <c r="J46" s="97">
        <v>65</v>
      </c>
      <c r="K46" s="97">
        <v>1.038</v>
      </c>
    </row>
    <row r="47" spans="4:11" ht="11.25" customHeight="1">
      <c r="D47" s="97">
        <v>63</v>
      </c>
      <c r="E47" s="97" t="s">
        <v>810</v>
      </c>
      <c r="F47" s="97">
        <v>-11.9</v>
      </c>
      <c r="G47" s="97">
        <v>1.0309999999999999</v>
      </c>
      <c r="H47" s="97">
        <v>3</v>
      </c>
      <c r="I47" s="97">
        <v>1</v>
      </c>
      <c r="J47" s="97">
        <v>65</v>
      </c>
      <c r="K47" s="97">
        <v>1.038</v>
      </c>
    </row>
    <row r="48" spans="4:11" ht="11.25" customHeight="1">
      <c r="D48" s="97">
        <v>64</v>
      </c>
      <c r="E48" s="97" t="s">
        <v>811</v>
      </c>
      <c r="F48" s="97">
        <v>-18.5</v>
      </c>
      <c r="G48" s="97">
        <v>1.048</v>
      </c>
      <c r="H48" s="97">
        <v>10</v>
      </c>
      <c r="I48" s="97">
        <v>1.0409999999999999</v>
      </c>
      <c r="J48" s="97">
        <v>90</v>
      </c>
      <c r="K48" s="97">
        <v>1.1000000000000001</v>
      </c>
    </row>
    <row r="49" spans="4:11" ht="11.25" customHeight="1">
      <c r="D49" s="97">
        <v>66</v>
      </c>
      <c r="E49" s="97" t="s">
        <v>78</v>
      </c>
      <c r="F49" s="97">
        <v>-2.2000000000000002</v>
      </c>
      <c r="G49" s="97">
        <v>1.0069999999999999</v>
      </c>
      <c r="H49" s="97">
        <v>3</v>
      </c>
      <c r="I49" s="97">
        <v>1</v>
      </c>
      <c r="J49" s="97">
        <v>75</v>
      </c>
      <c r="K49" s="97">
        <v>1.0629999999999999</v>
      </c>
    </row>
    <row r="50" spans="4:11" ht="11.25" customHeight="1">
      <c r="D50" s="97">
        <v>68</v>
      </c>
      <c r="E50" s="97" t="s">
        <v>812</v>
      </c>
      <c r="F50" s="97">
        <v>-10.1</v>
      </c>
      <c r="G50" s="97">
        <v>1.0269999999999999</v>
      </c>
      <c r="H50" s="97">
        <v>5</v>
      </c>
      <c r="I50" s="97">
        <v>1.012</v>
      </c>
      <c r="J50" s="97">
        <v>65</v>
      </c>
      <c r="K50" s="97">
        <v>1.038</v>
      </c>
    </row>
    <row r="51" spans="4:11" ht="11.25" customHeight="1">
      <c r="D51" s="97">
        <v>69</v>
      </c>
      <c r="E51" s="97" t="s">
        <v>8</v>
      </c>
      <c r="F51" s="97">
        <v>-17.899999999999999</v>
      </c>
      <c r="G51" s="97">
        <v>1.046</v>
      </c>
      <c r="H51" s="97">
        <v>15</v>
      </c>
      <c r="I51" s="97">
        <v>1.071</v>
      </c>
      <c r="J51" s="97">
        <v>70</v>
      </c>
      <c r="K51" s="97">
        <v>1.05</v>
      </c>
    </row>
    <row r="52" spans="4:11" ht="11.25" customHeight="1">
      <c r="D52" s="97">
        <v>71</v>
      </c>
      <c r="E52" s="97" t="s">
        <v>813</v>
      </c>
      <c r="F52" s="97">
        <v>-14.4</v>
      </c>
      <c r="G52" s="97">
        <v>1.0369999999999999</v>
      </c>
      <c r="H52" s="97">
        <v>5</v>
      </c>
      <c r="I52" s="97">
        <v>1.012</v>
      </c>
      <c r="J52" s="97">
        <v>60</v>
      </c>
      <c r="K52" s="97">
        <v>1.0249999999999999</v>
      </c>
    </row>
    <row r="53" spans="4:11" ht="11.25" customHeight="1">
      <c r="D53" s="97">
        <v>72</v>
      </c>
      <c r="E53" s="97" t="s">
        <v>25</v>
      </c>
      <c r="F53" s="97">
        <v>-11.8</v>
      </c>
      <c r="G53" s="97">
        <v>1.0309999999999999</v>
      </c>
      <c r="H53" s="97">
        <v>5</v>
      </c>
      <c r="I53" s="97">
        <v>1.012</v>
      </c>
      <c r="J53" s="97">
        <v>65</v>
      </c>
      <c r="K53" s="97">
        <v>1.038</v>
      </c>
    </row>
    <row r="54" spans="4:11" ht="11.25" customHeight="1">
      <c r="D54" s="97">
        <v>74</v>
      </c>
      <c r="E54" s="97" t="s">
        <v>814</v>
      </c>
      <c r="F54" s="97">
        <v>-16.3</v>
      </c>
      <c r="G54" s="97">
        <v>1.042</v>
      </c>
      <c r="H54" s="97">
        <v>5</v>
      </c>
      <c r="I54" s="97">
        <v>1.012</v>
      </c>
      <c r="J54" s="97">
        <v>60</v>
      </c>
      <c r="K54" s="97">
        <v>1.0249999999999999</v>
      </c>
    </row>
    <row r="55" spans="4:11" ht="11.25" customHeight="1">
      <c r="D55" s="97">
        <v>76</v>
      </c>
      <c r="E55" s="97" t="s">
        <v>815</v>
      </c>
      <c r="F55" s="97">
        <v>-7.3</v>
      </c>
      <c r="G55" s="97">
        <v>1.02</v>
      </c>
      <c r="H55" s="97">
        <v>15</v>
      </c>
      <c r="I55" s="97">
        <v>1.071</v>
      </c>
      <c r="J55" s="97">
        <v>65</v>
      </c>
      <c r="K55" s="97">
        <v>1.038</v>
      </c>
    </row>
    <row r="56" spans="4:11" ht="11.25" customHeight="1">
      <c r="D56" s="97">
        <v>77</v>
      </c>
      <c r="E56" s="97" t="s">
        <v>27</v>
      </c>
      <c r="F56" s="97">
        <v>-6.6</v>
      </c>
      <c r="G56" s="97">
        <v>1.018</v>
      </c>
      <c r="H56" s="97">
        <v>5</v>
      </c>
      <c r="I56" s="97">
        <v>1.012</v>
      </c>
      <c r="J56" s="97">
        <v>75</v>
      </c>
      <c r="K56" s="97">
        <v>1.0629999999999999</v>
      </c>
    </row>
    <row r="57" spans="4:11" ht="11.25" customHeight="1">
      <c r="D57" s="97">
        <v>79</v>
      </c>
      <c r="E57" s="97" t="s">
        <v>816</v>
      </c>
      <c r="F57" s="97">
        <v>-10.3</v>
      </c>
      <c r="G57" s="97">
        <v>1.0269999999999999</v>
      </c>
      <c r="H57" s="97">
        <v>10</v>
      </c>
      <c r="I57" s="97">
        <v>1.0409999999999999</v>
      </c>
      <c r="J57" s="97">
        <v>65</v>
      </c>
      <c r="K57" s="97">
        <v>1.038</v>
      </c>
    </row>
    <row r="58" spans="4:11" ht="11.25" customHeight="1">
      <c r="D58" s="97">
        <v>80</v>
      </c>
      <c r="E58" s="97" t="s">
        <v>817</v>
      </c>
      <c r="F58" s="97">
        <v>-7.8</v>
      </c>
      <c r="G58" s="97">
        <v>1.0209999999999999</v>
      </c>
      <c r="H58" s="97">
        <v>5</v>
      </c>
      <c r="I58" s="97">
        <v>1.012</v>
      </c>
      <c r="J58" s="97">
        <v>65</v>
      </c>
      <c r="K58" s="97">
        <v>1.038</v>
      </c>
    </row>
    <row r="59" spans="4:11" ht="11.25" customHeight="1">
      <c r="D59" s="97">
        <v>82</v>
      </c>
      <c r="E59" s="97" t="s">
        <v>818</v>
      </c>
      <c r="F59" s="97">
        <v>-10.5</v>
      </c>
      <c r="G59" s="97">
        <v>1.028</v>
      </c>
      <c r="H59" s="97">
        <v>10</v>
      </c>
      <c r="I59" s="97">
        <v>1.0409999999999999</v>
      </c>
      <c r="J59" s="97">
        <v>70</v>
      </c>
      <c r="K59" s="97">
        <v>1.05</v>
      </c>
    </row>
    <row r="60" spans="4:11" ht="11.25" customHeight="1">
      <c r="D60" s="97">
        <v>84</v>
      </c>
      <c r="E60" s="97" t="s">
        <v>819</v>
      </c>
      <c r="F60" s="97">
        <v>-11.7</v>
      </c>
      <c r="G60" s="97">
        <v>1.0309999999999999</v>
      </c>
      <c r="H60" s="97">
        <v>3</v>
      </c>
      <c r="I60" s="97">
        <v>1</v>
      </c>
      <c r="J60" s="97">
        <v>60</v>
      </c>
      <c r="K60" s="97">
        <v>1.0249999999999999</v>
      </c>
    </row>
    <row r="61" spans="4:11" ht="11.25" customHeight="1">
      <c r="D61" s="97">
        <v>85</v>
      </c>
      <c r="E61" s="97" t="s">
        <v>12</v>
      </c>
      <c r="F61" s="97">
        <v>-8.6999999999999993</v>
      </c>
      <c r="G61" s="97">
        <v>1.0229999999999999</v>
      </c>
      <c r="H61" s="97">
        <v>3</v>
      </c>
      <c r="I61" s="97">
        <v>1</v>
      </c>
      <c r="J61" s="97">
        <v>70</v>
      </c>
      <c r="K61" s="97">
        <v>1.05</v>
      </c>
    </row>
    <row r="62" spans="4:11" ht="11.25" customHeight="1">
      <c r="D62" s="97">
        <v>87</v>
      </c>
      <c r="E62" s="97" t="s">
        <v>28</v>
      </c>
      <c r="F62" s="97">
        <v>-17.3</v>
      </c>
      <c r="G62" s="97">
        <v>1.0449999999999999</v>
      </c>
      <c r="H62" s="97">
        <v>5</v>
      </c>
      <c r="I62" s="97">
        <v>1.012</v>
      </c>
      <c r="J62" s="97">
        <v>65</v>
      </c>
      <c r="K62" s="97">
        <v>1.038</v>
      </c>
    </row>
    <row r="63" spans="4:11" ht="11.25" customHeight="1">
      <c r="D63" s="97">
        <v>88</v>
      </c>
      <c r="E63" s="97" t="s">
        <v>820</v>
      </c>
      <c r="F63" s="97">
        <v>-17.2</v>
      </c>
      <c r="G63" s="97">
        <v>1.044</v>
      </c>
      <c r="H63" s="97">
        <v>5</v>
      </c>
      <c r="I63" s="97">
        <v>1.012</v>
      </c>
      <c r="J63" s="97">
        <v>60</v>
      </c>
      <c r="K63" s="97">
        <v>1.0249999999999999</v>
      </c>
    </row>
    <row r="64" spans="4:11" ht="11.25" customHeight="1">
      <c r="D64" s="97">
        <v>90</v>
      </c>
      <c r="E64" s="97" t="s">
        <v>821</v>
      </c>
      <c r="F64" s="97">
        <v>-12.9</v>
      </c>
      <c r="G64" s="97">
        <v>1.034</v>
      </c>
      <c r="H64" s="97">
        <v>15</v>
      </c>
      <c r="I64" s="97">
        <v>1.071</v>
      </c>
      <c r="J64" s="97">
        <v>55</v>
      </c>
      <c r="K64" s="97">
        <v>1.0129999999999999</v>
      </c>
    </row>
    <row r="65" spans="4:11" ht="11.25" customHeight="1">
      <c r="D65" s="97">
        <v>92</v>
      </c>
      <c r="E65" s="97" t="s">
        <v>822</v>
      </c>
      <c r="F65" s="97">
        <v>-7.8</v>
      </c>
      <c r="G65" s="97">
        <v>1.0209999999999999</v>
      </c>
      <c r="H65" s="97">
        <v>10</v>
      </c>
      <c r="I65" s="97">
        <v>1.0409999999999999</v>
      </c>
      <c r="J65" s="97">
        <v>65</v>
      </c>
      <c r="K65" s="97">
        <v>1.038</v>
      </c>
    </row>
    <row r="66" spans="4:11" ht="11.25" customHeight="1">
      <c r="D66" s="97">
        <v>93</v>
      </c>
      <c r="E66" s="97" t="s">
        <v>823</v>
      </c>
      <c r="F66" s="97">
        <v>-9.8000000000000007</v>
      </c>
      <c r="G66" s="97">
        <v>1.026</v>
      </c>
      <c r="H66" s="97">
        <v>10</v>
      </c>
      <c r="I66" s="97">
        <v>1.0409999999999999</v>
      </c>
      <c r="J66" s="97">
        <v>60</v>
      </c>
      <c r="K66" s="97">
        <v>1.0249999999999999</v>
      </c>
    </row>
    <row r="67" spans="4:11" ht="11.25" customHeight="1">
      <c r="D67" s="97">
        <v>95</v>
      </c>
      <c r="E67" s="97" t="s">
        <v>824</v>
      </c>
      <c r="F67" s="97">
        <v>-6.3</v>
      </c>
      <c r="G67" s="97">
        <v>1.0169999999999999</v>
      </c>
      <c r="H67" s="97">
        <v>3</v>
      </c>
      <c r="I67" s="97">
        <v>1</v>
      </c>
      <c r="J67" s="97">
        <v>70</v>
      </c>
      <c r="K67" s="97">
        <v>1.05</v>
      </c>
    </row>
    <row r="68" spans="4:11" ht="11.25" customHeight="1">
      <c r="D68" s="97">
        <v>96</v>
      </c>
      <c r="E68" s="97" t="s">
        <v>825</v>
      </c>
      <c r="F68" s="97">
        <v>-3.8</v>
      </c>
      <c r="G68" s="97">
        <v>1.0109999999999999</v>
      </c>
      <c r="H68" s="97">
        <v>10</v>
      </c>
      <c r="I68" s="97">
        <v>1.0409999999999999</v>
      </c>
      <c r="J68" s="97">
        <v>60</v>
      </c>
      <c r="K68" s="97">
        <v>1.0249999999999999</v>
      </c>
    </row>
    <row r="69" spans="4:11" ht="11.25" customHeight="1">
      <c r="D69" s="97">
        <v>98</v>
      </c>
      <c r="E69" s="97" t="s">
        <v>826</v>
      </c>
      <c r="F69" s="97">
        <v>-11</v>
      </c>
      <c r="G69" s="97">
        <v>1.0289999999999999</v>
      </c>
      <c r="H69" s="97">
        <v>5</v>
      </c>
      <c r="I69" s="97">
        <v>1.012</v>
      </c>
      <c r="J69" s="97">
        <v>65</v>
      </c>
      <c r="K69" s="97">
        <v>1.038</v>
      </c>
    </row>
    <row r="70" spans="4:11" ht="11.25" customHeight="1">
      <c r="D70" s="97">
        <v>100</v>
      </c>
      <c r="E70" s="97" t="s">
        <v>35</v>
      </c>
      <c r="F70" s="97">
        <v>-13.5</v>
      </c>
      <c r="G70" s="97">
        <v>1.0349999999999999</v>
      </c>
      <c r="H70" s="97">
        <v>10</v>
      </c>
      <c r="I70" s="97">
        <v>1.0409999999999999</v>
      </c>
      <c r="J70" s="97">
        <v>55</v>
      </c>
      <c r="K70" s="97">
        <v>1.0129999999999999</v>
      </c>
    </row>
    <row r="71" spans="4:11" ht="11.25" customHeight="1">
      <c r="D71" s="97">
        <v>101</v>
      </c>
      <c r="E71" s="97" t="s">
        <v>827</v>
      </c>
      <c r="F71" s="97">
        <v>-8.6999999999999993</v>
      </c>
      <c r="G71" s="97">
        <v>1.0229999999999999</v>
      </c>
      <c r="H71" s="97">
        <v>10</v>
      </c>
      <c r="I71" s="97">
        <v>1.0409999999999999</v>
      </c>
      <c r="J71" s="97">
        <v>60</v>
      </c>
      <c r="K71" s="97">
        <v>1.0249999999999999</v>
      </c>
    </row>
    <row r="72" spans="4:11" ht="11.25" customHeight="1">
      <c r="D72" s="97">
        <v>103</v>
      </c>
      <c r="E72" s="97" t="s">
        <v>828</v>
      </c>
      <c r="F72" s="97">
        <v>-13.6</v>
      </c>
      <c r="G72" s="97">
        <v>1.0349999999999999</v>
      </c>
      <c r="H72" s="97">
        <v>10</v>
      </c>
      <c r="I72" s="97">
        <v>1.0409999999999999</v>
      </c>
      <c r="J72" s="97">
        <v>60</v>
      </c>
      <c r="K72" s="97">
        <v>1.0249999999999999</v>
      </c>
    </row>
    <row r="73" spans="4:11" ht="11.25" customHeight="1">
      <c r="D73" s="97">
        <v>104</v>
      </c>
      <c r="E73" s="97" t="s">
        <v>829</v>
      </c>
      <c r="F73" s="97">
        <v>-7.5</v>
      </c>
      <c r="G73" s="97">
        <v>1.02</v>
      </c>
      <c r="H73" s="97">
        <v>10</v>
      </c>
      <c r="I73" s="97">
        <v>1.0409999999999999</v>
      </c>
      <c r="J73" s="97">
        <v>70</v>
      </c>
      <c r="K73" s="97">
        <v>1.05</v>
      </c>
    </row>
    <row r="74" spans="4:11" ht="11.25" customHeight="1">
      <c r="D74" s="97">
        <v>106</v>
      </c>
      <c r="E74" s="97" t="s">
        <v>830</v>
      </c>
      <c r="F74" s="97">
        <v>-10.9</v>
      </c>
      <c r="G74" s="97">
        <v>1.0289999999999999</v>
      </c>
      <c r="H74" s="97">
        <v>10</v>
      </c>
      <c r="I74" s="97">
        <v>1.0409999999999999</v>
      </c>
      <c r="J74" s="97">
        <v>60</v>
      </c>
      <c r="K74" s="97">
        <v>1.0249999999999999</v>
      </c>
    </row>
    <row r="75" spans="4:11" ht="11.25" customHeight="1">
      <c r="D75" s="97">
        <v>108</v>
      </c>
      <c r="E75" s="97" t="s">
        <v>36</v>
      </c>
      <c r="F75" s="97">
        <v>-10.5</v>
      </c>
      <c r="G75" s="97">
        <v>1.028</v>
      </c>
      <c r="H75" s="97">
        <v>5</v>
      </c>
      <c r="I75" s="97">
        <v>1.012</v>
      </c>
      <c r="J75" s="97">
        <v>70</v>
      </c>
      <c r="K75" s="97">
        <v>1.05</v>
      </c>
    </row>
    <row r="76" spans="4:11" ht="11.25" customHeight="1">
      <c r="D76" s="97">
        <v>109</v>
      </c>
      <c r="E76" s="97" t="s">
        <v>37</v>
      </c>
      <c r="F76" s="97">
        <v>-17.899999999999999</v>
      </c>
      <c r="G76" s="97">
        <v>1.046</v>
      </c>
      <c r="H76" s="97">
        <v>5</v>
      </c>
      <c r="I76" s="97">
        <v>1.012</v>
      </c>
      <c r="J76" s="97">
        <v>65</v>
      </c>
      <c r="K76" s="97">
        <v>1.038</v>
      </c>
    </row>
    <row r="77" spans="4:11" ht="11.25" customHeight="1">
      <c r="D77" s="97">
        <v>111</v>
      </c>
      <c r="E77" s="97" t="s">
        <v>831</v>
      </c>
      <c r="F77" s="97">
        <v>-10.9</v>
      </c>
      <c r="G77" s="97">
        <v>1.0289999999999999</v>
      </c>
      <c r="H77" s="97">
        <v>10</v>
      </c>
      <c r="I77" s="97">
        <v>1.0409999999999999</v>
      </c>
      <c r="J77" s="97">
        <v>65</v>
      </c>
      <c r="K77" s="97">
        <v>1.038</v>
      </c>
    </row>
    <row r="78" spans="4:11" ht="11.25" customHeight="1">
      <c r="D78" s="97">
        <v>112</v>
      </c>
      <c r="E78" s="97" t="s">
        <v>832</v>
      </c>
      <c r="F78" s="97">
        <v>-17.399999999999999</v>
      </c>
      <c r="G78" s="97">
        <v>1.0449999999999999</v>
      </c>
      <c r="H78" s="97">
        <v>10</v>
      </c>
      <c r="I78" s="97">
        <v>1.0409999999999999</v>
      </c>
      <c r="J78" s="97">
        <v>65</v>
      </c>
      <c r="K78" s="97">
        <v>1.038</v>
      </c>
    </row>
    <row r="79" spans="4:11" ht="11.25" customHeight="1">
      <c r="D79" s="97">
        <v>114</v>
      </c>
      <c r="E79" s="97" t="s">
        <v>38</v>
      </c>
      <c r="F79" s="97">
        <v>-13.8</v>
      </c>
      <c r="G79" s="97">
        <v>1.036</v>
      </c>
      <c r="H79" s="97">
        <v>10</v>
      </c>
      <c r="I79" s="97">
        <v>1.0409999999999999</v>
      </c>
      <c r="J79" s="97">
        <v>55</v>
      </c>
      <c r="K79" s="97">
        <v>1.0129999999999999</v>
      </c>
    </row>
    <row r="80" spans="4:11" ht="11.25" customHeight="1">
      <c r="D80" s="97">
        <v>116</v>
      </c>
      <c r="E80" s="97" t="s">
        <v>6</v>
      </c>
      <c r="F80" s="97">
        <v>-15.8</v>
      </c>
      <c r="G80" s="97">
        <v>1.0409999999999999</v>
      </c>
      <c r="H80" s="97">
        <v>10</v>
      </c>
      <c r="I80" s="97">
        <v>1.0409999999999999</v>
      </c>
      <c r="J80" s="97">
        <v>55</v>
      </c>
      <c r="K80" s="97">
        <v>1.0129999999999999</v>
      </c>
    </row>
    <row r="81" spans="4:11" ht="11.25" customHeight="1">
      <c r="D81" s="97">
        <v>117</v>
      </c>
      <c r="E81" s="97" t="s">
        <v>833</v>
      </c>
      <c r="F81" s="97">
        <v>-11.9</v>
      </c>
      <c r="G81" s="97">
        <v>1.0309999999999999</v>
      </c>
      <c r="H81" s="97">
        <v>3</v>
      </c>
      <c r="I81" s="97">
        <v>1</v>
      </c>
      <c r="J81" s="97">
        <v>65</v>
      </c>
      <c r="K81" s="97">
        <v>1.038</v>
      </c>
    </row>
    <row r="82" spans="4:11" ht="11.25" customHeight="1">
      <c r="D82" s="97">
        <v>119</v>
      </c>
      <c r="E82" s="97" t="s">
        <v>834</v>
      </c>
      <c r="F82" s="97">
        <v>-7.8</v>
      </c>
      <c r="G82" s="97">
        <v>1.0209999999999999</v>
      </c>
      <c r="H82" s="97">
        <v>5</v>
      </c>
      <c r="I82" s="97">
        <v>1.012</v>
      </c>
      <c r="J82" s="97">
        <v>65</v>
      </c>
      <c r="K82" s="97">
        <v>1.038</v>
      </c>
    </row>
    <row r="83" spans="4:11" ht="11.25" customHeight="1">
      <c r="D83" s="97">
        <v>120</v>
      </c>
      <c r="E83" s="97" t="s">
        <v>835</v>
      </c>
      <c r="F83" s="97">
        <v>-6.6</v>
      </c>
      <c r="G83" s="97">
        <v>1.018</v>
      </c>
      <c r="H83" s="97">
        <v>5</v>
      </c>
      <c r="I83" s="97">
        <v>1.012</v>
      </c>
      <c r="J83" s="97">
        <v>75</v>
      </c>
      <c r="K83" s="97">
        <v>1.0629999999999999</v>
      </c>
    </row>
    <row r="84" spans="4:11" ht="11.25" customHeight="1">
      <c r="D84" s="97">
        <v>122</v>
      </c>
      <c r="E84" s="97" t="s">
        <v>24</v>
      </c>
      <c r="F84" s="97">
        <v>-22.6</v>
      </c>
      <c r="G84" s="97">
        <v>1.0580000000000001</v>
      </c>
      <c r="H84" s="97">
        <v>10</v>
      </c>
      <c r="I84" s="97">
        <v>1.0409999999999999</v>
      </c>
      <c r="J84" s="97">
        <v>50</v>
      </c>
      <c r="K84" s="97">
        <v>1</v>
      </c>
    </row>
    <row r="85" spans="4:11" ht="11.25" customHeight="1">
      <c r="D85" s="97">
        <v>124</v>
      </c>
      <c r="E85" s="97" t="s">
        <v>836</v>
      </c>
      <c r="F85" s="97">
        <v>-19.8</v>
      </c>
      <c r="G85" s="97">
        <v>1.0509999999999999</v>
      </c>
      <c r="H85" s="97">
        <v>5</v>
      </c>
      <c r="I85" s="97">
        <v>1.012</v>
      </c>
      <c r="J85" s="97">
        <v>60</v>
      </c>
      <c r="K85" s="97">
        <v>1.0249999999999999</v>
      </c>
    </row>
    <row r="86" spans="4:11" ht="11.25" customHeight="1">
      <c r="D86" s="97">
        <v>125</v>
      </c>
      <c r="E86" s="97" t="s">
        <v>837</v>
      </c>
      <c r="F86" s="97">
        <v>-26.4</v>
      </c>
      <c r="G86" s="97">
        <v>1.0669999999999999</v>
      </c>
      <c r="H86" s="97">
        <v>5</v>
      </c>
      <c r="I86" s="97">
        <v>1.012</v>
      </c>
      <c r="J86" s="97">
        <v>50</v>
      </c>
      <c r="K86" s="97">
        <v>1</v>
      </c>
    </row>
    <row r="87" spans="4:11" ht="11.25" customHeight="1">
      <c r="D87" s="97">
        <v>127</v>
      </c>
      <c r="E87" s="97" t="s">
        <v>32</v>
      </c>
      <c r="F87" s="97">
        <v>-0.2</v>
      </c>
      <c r="G87" s="97">
        <v>1.002</v>
      </c>
      <c r="H87" s="97">
        <v>15</v>
      </c>
      <c r="I87" s="97">
        <v>1.071</v>
      </c>
      <c r="J87" s="97">
        <v>75</v>
      </c>
      <c r="K87" s="97">
        <v>1.0629999999999999</v>
      </c>
    </row>
    <row r="88" spans="4:11" ht="11.25" customHeight="1">
      <c r="D88" s="97">
        <v>128</v>
      </c>
      <c r="E88" s="97" t="s">
        <v>838</v>
      </c>
      <c r="F88" s="97">
        <v>-12.5</v>
      </c>
      <c r="G88" s="97">
        <v>1.0329999999999999</v>
      </c>
      <c r="H88" s="97">
        <v>10</v>
      </c>
      <c r="I88" s="97">
        <v>1.0409999999999999</v>
      </c>
      <c r="J88" s="97">
        <v>50</v>
      </c>
      <c r="K88" s="97">
        <v>1</v>
      </c>
    </row>
    <row r="89" spans="4:11" ht="11.25" customHeight="1">
      <c r="D89" s="97">
        <v>130</v>
      </c>
      <c r="E89" s="97" t="s">
        <v>7</v>
      </c>
      <c r="F89" s="97">
        <v>-29.1</v>
      </c>
      <c r="G89" s="97">
        <v>1.073</v>
      </c>
      <c r="H89" s="97">
        <v>20</v>
      </c>
      <c r="I89" s="97">
        <v>1.012</v>
      </c>
      <c r="J89" s="97">
        <v>50</v>
      </c>
      <c r="K89" s="97">
        <v>1</v>
      </c>
    </row>
    <row r="90" spans="4:11" ht="11.25" customHeight="1">
      <c r="D90" s="97">
        <v>132</v>
      </c>
      <c r="E90" s="97" t="s">
        <v>839</v>
      </c>
      <c r="F90" s="97">
        <v>-14.8</v>
      </c>
      <c r="G90" s="97">
        <v>1.0389999999999999</v>
      </c>
      <c r="H90" s="97">
        <v>20</v>
      </c>
      <c r="I90" s="97">
        <v>1.0409999999999999</v>
      </c>
      <c r="J90" s="97">
        <v>50</v>
      </c>
      <c r="K90" s="97">
        <v>1</v>
      </c>
    </row>
    <row r="91" spans="4:11" ht="11.25" customHeight="1">
      <c r="D91" s="97">
        <v>133</v>
      </c>
      <c r="E91" s="97" t="s">
        <v>840</v>
      </c>
      <c r="F91" s="97">
        <v>0.4</v>
      </c>
      <c r="G91" s="97">
        <v>1.0009999999999999</v>
      </c>
      <c r="H91" s="97">
        <v>15</v>
      </c>
      <c r="I91" s="97">
        <v>1.071</v>
      </c>
      <c r="J91" s="97">
        <v>75</v>
      </c>
      <c r="K91" s="97">
        <v>1.0629999999999999</v>
      </c>
    </row>
    <row r="92" spans="4:11" ht="11.25" customHeight="1">
      <c r="D92" s="97">
        <v>135</v>
      </c>
      <c r="E92" s="97" t="s">
        <v>841</v>
      </c>
      <c r="F92" s="97">
        <v>-15.6</v>
      </c>
      <c r="G92" s="97">
        <v>1.0409999999999999</v>
      </c>
      <c r="H92" s="97">
        <v>5</v>
      </c>
      <c r="I92" s="97">
        <v>1.012</v>
      </c>
      <c r="J92" s="97">
        <v>50</v>
      </c>
      <c r="K92" s="97">
        <v>1</v>
      </c>
    </row>
    <row r="93" spans="4:11" ht="11.25" customHeight="1">
      <c r="D93" s="97">
        <v>136</v>
      </c>
      <c r="E93" s="97" t="s">
        <v>842</v>
      </c>
      <c r="F93" s="97">
        <v>-28.2</v>
      </c>
      <c r="G93" s="97">
        <v>1.071</v>
      </c>
      <c r="H93" s="97">
        <v>20</v>
      </c>
      <c r="I93" s="97">
        <v>1.012</v>
      </c>
      <c r="J93" s="97">
        <v>50</v>
      </c>
      <c r="K93" s="97">
        <v>1</v>
      </c>
    </row>
  </sheetData>
  <sheetProtection formatColumns="0" formatRows="0" insertRows="0" deleteColumns="0" deleteRows="0" sort="0" autoFilter="0"/>
  <mergeCells count="6">
    <mergeCell ref="J3:K3"/>
    <mergeCell ref="D4:K4"/>
    <mergeCell ref="D6:D8"/>
    <mergeCell ref="F6:G6"/>
    <mergeCell ref="H6:I6"/>
    <mergeCell ref="J6:K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74"/>
  <sheetViews>
    <sheetView showGridLines="0" topLeftCell="AA20" workbookViewId="0">
      <selection activeCell="AA20" sqref="AA20"/>
    </sheetView>
  </sheetViews>
  <sheetFormatPr defaultColWidth="9.140625" defaultRowHeight="11.45" customHeight="1"/>
  <cols>
    <col min="1" max="1" width="9.140625" hidden="1"/>
    <col min="2" max="4" width="5.28515625" hidden="1" customWidth="1"/>
    <col min="5" max="5" width="9.7109375" hidden="1" customWidth="1"/>
    <col min="6" max="6" width="14.7109375" hidden="1" customWidth="1"/>
    <col min="7" max="7" width="45.28515625" hidden="1" customWidth="1"/>
    <col min="8" max="8" width="5" hidden="1" customWidth="1"/>
    <col min="9" max="9" width="13.85546875" hidden="1" customWidth="1"/>
    <col min="10" max="26" width="5.28515625" hidden="1" customWidth="1"/>
    <col min="27" max="27" width="6.85546875" customWidth="1"/>
    <col min="29" max="29" width="115.42578125" customWidth="1"/>
    <col min="30" max="30" width="17.140625" customWidth="1"/>
    <col min="31" max="31" width="16.42578125" hidden="1" customWidth="1"/>
    <col min="32" max="32" width="9.140625" hidden="1"/>
  </cols>
  <sheetData>
    <row r="1" spans="4:32" ht="11.25" hidden="1" customHeight="1"/>
    <row r="2" spans="4:32" ht="18" hidden="1" customHeight="1">
      <c r="AE2" s="109" t="b">
        <f>REPORT_OWNER&lt;&gt;"Версия организации"</f>
        <v>0</v>
      </c>
    </row>
    <row r="3" spans="4:32" ht="18" hidden="1" customHeight="1"/>
    <row r="4" spans="4:32" ht="18"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64</v>
      </c>
      <c r="AC4" s="1">
        <v>808</v>
      </c>
      <c r="AD4" s="1">
        <v>120</v>
      </c>
      <c r="AE4" s="1">
        <v>128</v>
      </c>
      <c r="AF4" s="2">
        <v>0</v>
      </c>
    </row>
    <row r="5" spans="4:32" ht="18" hidden="1" customHeight="1">
      <c r="D5" s="1">
        <v>40</v>
      </c>
      <c r="E5" s="1" t="s">
        <v>319</v>
      </c>
      <c r="F5" s="15" t="s">
        <v>320</v>
      </c>
      <c r="G5" s="15" t="s">
        <v>321</v>
      </c>
      <c r="H5" s="15" t="s">
        <v>322</v>
      </c>
      <c r="I5" s="15" t="s">
        <v>846</v>
      </c>
    </row>
    <row r="6" spans="4:32" ht="18" hidden="1" customHeight="1">
      <c r="D6" s="1">
        <v>40</v>
      </c>
      <c r="E6" s="15" t="s">
        <v>581</v>
      </c>
      <c r="AD6" s="15">
        <f>FIRST_PERIOD_IN_LT</f>
        <v>2026</v>
      </c>
      <c r="AE6" s="15">
        <f>FIRST_PERIOD_IN_LT</f>
        <v>2026</v>
      </c>
    </row>
    <row r="7" spans="4:32" ht="18" hidden="1" customHeight="1">
      <c r="D7" s="1">
        <v>40</v>
      </c>
      <c r="E7" s="15" t="s">
        <v>754</v>
      </c>
      <c r="AD7" s="15" t="s">
        <v>327</v>
      </c>
      <c r="AE7" s="15" t="s">
        <v>755</v>
      </c>
    </row>
    <row r="8" spans="4:32" ht="18" hidden="1" customHeight="1">
      <c r="D8" s="1">
        <v>40</v>
      </c>
    </row>
    <row r="9" spans="4:32" ht="18" hidden="1" customHeight="1">
      <c r="D9" s="1">
        <v>40</v>
      </c>
    </row>
    <row r="10" spans="4:32" ht="18" hidden="1" customHeight="1">
      <c r="D10" s="1">
        <v>40</v>
      </c>
    </row>
    <row r="11" spans="4:32" ht="18" hidden="1" customHeight="1">
      <c r="D11" s="1">
        <v>40</v>
      </c>
    </row>
    <row r="12" spans="4:32" ht="18" hidden="1" customHeight="1">
      <c r="D12" s="1">
        <v>40</v>
      </c>
    </row>
    <row r="13" spans="4:32" ht="18" hidden="1" customHeight="1">
      <c r="D13" s="1">
        <v>40</v>
      </c>
    </row>
    <row r="14" spans="4:32" ht="18" hidden="1" customHeight="1">
      <c r="D14" s="1">
        <v>40</v>
      </c>
    </row>
    <row r="15" spans="4:32" ht="18" hidden="1" customHeight="1">
      <c r="D15" s="1">
        <v>40</v>
      </c>
    </row>
    <row r="16" spans="4:32" ht="18" hidden="1" customHeight="1">
      <c r="D16" s="1">
        <v>40</v>
      </c>
    </row>
    <row r="17" spans="4:31" ht="18" hidden="1" customHeight="1">
      <c r="D17" s="1">
        <v>40</v>
      </c>
    </row>
    <row r="18" spans="4:31" ht="18" hidden="1" customHeight="1">
      <c r="D18" s="1">
        <v>40</v>
      </c>
    </row>
    <row r="19" spans="4:31" ht="18" hidden="1" customHeight="1">
      <c r="D19" s="1">
        <v>40</v>
      </c>
    </row>
    <row r="20" spans="4:31" ht="18" customHeight="1">
      <c r="D20" s="1">
        <v>24</v>
      </c>
    </row>
    <row r="21" spans="4:31" ht="21.75" customHeight="1">
      <c r="D21" s="1">
        <v>29</v>
      </c>
      <c r="AB21" s="828" t="str">
        <f>ORG</f>
        <v>МУП "Горэлектросети"</v>
      </c>
      <c r="AC21" s="828"/>
      <c r="AD21" s="828"/>
    </row>
    <row r="22" spans="4:31" ht="19.5" customHeight="1">
      <c r="D22" s="1">
        <v>26</v>
      </c>
      <c r="AB22" s="785" t="s">
        <v>847</v>
      </c>
      <c r="AC22" s="785"/>
      <c r="AD22" s="46"/>
    </row>
    <row r="23" spans="4:31" ht="5.25" customHeight="1">
      <c r="D23" s="1">
        <v>7</v>
      </c>
    </row>
    <row r="24" spans="4:31" ht="27" customHeight="1">
      <c r="D24" s="1">
        <v>36</v>
      </c>
      <c r="AB24" s="835" t="s">
        <v>509</v>
      </c>
      <c r="AC24" s="798" t="s">
        <v>843</v>
      </c>
      <c r="AD24" s="798">
        <f>FIRST_PERIOD_IN_LT</f>
        <v>2026</v>
      </c>
      <c r="AE24" s="104" t="s">
        <v>755</v>
      </c>
    </row>
    <row r="25" spans="4:31" ht="27" customHeight="1">
      <c r="D25" s="1">
        <v>36</v>
      </c>
      <c r="AB25" s="835"/>
      <c r="AC25" s="798"/>
      <c r="AD25" s="798"/>
      <c r="AE25" s="104">
        <f>FIRST_PERIOD_IN_LT</f>
        <v>2026</v>
      </c>
    </row>
    <row r="26" spans="4:31" ht="3" customHeight="1">
      <c r="D26" s="1">
        <v>4</v>
      </c>
      <c r="AD26" s="122"/>
      <c r="AE26" s="122"/>
    </row>
    <row r="27" spans="4:31" ht="15.75" customHeight="1">
      <c r="D27" s="1">
        <v>21</v>
      </c>
      <c r="F27" s="15" t="s">
        <v>848</v>
      </c>
      <c r="G27" s="15" t="s">
        <v>849</v>
      </c>
      <c r="H27" s="15" t="s">
        <v>617</v>
      </c>
      <c r="I27" s="15">
        <f>FIRST_PERIOD_IN_LT</f>
        <v>2026</v>
      </c>
      <c r="AB27" s="98">
        <v>1</v>
      </c>
      <c r="AC27" s="110" t="s">
        <v>850</v>
      </c>
      <c r="AD27" s="108">
        <f>IFERROR(0.3*AD31+0.7*AD32,0)</f>
        <v>0</v>
      </c>
      <c r="AE27" s="108">
        <f>IFERROR(0.3*AE31+0.7*AE32,0)</f>
        <v>0</v>
      </c>
    </row>
    <row r="28" spans="4:31" ht="3" customHeight="1">
      <c r="D28" s="1">
        <v>4</v>
      </c>
      <c r="AB28" s="114"/>
      <c r="AC28" s="115"/>
      <c r="AD28" s="112"/>
      <c r="AE28" s="112"/>
    </row>
    <row r="29" spans="4:31" ht="13.5" customHeight="1">
      <c r="D29" s="1">
        <v>18</v>
      </c>
      <c r="AB29" s="100"/>
      <c r="AC29" s="101" t="s">
        <v>844</v>
      </c>
      <c r="AD29" s="112"/>
      <c r="AE29" s="112"/>
    </row>
    <row r="30" spans="4:31" ht="13.5" customHeight="1">
      <c r="D30" s="1">
        <v>18</v>
      </c>
      <c r="AB30" s="100"/>
      <c r="AC30" s="101" t="str">
        <f>"БазOPEXnm+1 - базовый уровень ОПР ТСО в году m+1 ("&amp;AD24&amp;" год)."</f>
        <v>БазOPEXnm+1 - базовый уровень ОПР ТСО в году m+1 (2026 год).</v>
      </c>
      <c r="AD30" s="112"/>
      <c r="AE30" s="112"/>
    </row>
    <row r="31" spans="4:31" ht="33.75" customHeight="1">
      <c r="D31" s="1">
        <v>45</v>
      </c>
      <c r="F31" s="15" t="s">
        <v>851</v>
      </c>
      <c r="G31" s="15" t="s">
        <v>852</v>
      </c>
      <c r="H31" s="15" t="s">
        <v>617</v>
      </c>
      <c r="I31" s="15">
        <f>FIRST_PERIOD_IN_LT</f>
        <v>2026</v>
      </c>
      <c r="AB31" s="100"/>
      <c r="AC31" s="101" t="s">
        <v>853</v>
      </c>
      <c r="AD31" s="108">
        <f>AD73</f>
        <v>0</v>
      </c>
      <c r="AE31" s="108">
        <f>AE73</f>
        <v>0</v>
      </c>
    </row>
    <row r="32" spans="4:31" ht="27.75" customHeight="1">
      <c r="D32" s="1">
        <v>37</v>
      </c>
      <c r="F32" s="15" t="s">
        <v>854</v>
      </c>
      <c r="G32" s="15" t="s">
        <v>855</v>
      </c>
      <c r="H32" s="15" t="s">
        <v>617</v>
      </c>
      <c r="I32" s="15">
        <f>FIRST_PERIOD_IN_LT</f>
        <v>2026</v>
      </c>
      <c r="AB32" s="100"/>
      <c r="AC32" s="101" t="str">
        <f>"ОПРn муm+1 - уровень ОПР, рассчитанный органом регулирования для ТСО в году m + 1 ("&amp;AD24&amp;" год) в соответствии с Методическими указаниями "</f>
        <v xml:space="preserve">ОПРn муm+1 - уровень ОПР, рассчитанный органом регулирования для ТСО в году m + 1 (2026 год) в соответствии с Методическими указаниями </v>
      </c>
      <c r="AD32" s="108">
        <f>IFERROR(#REF!,0)</f>
        <v>0</v>
      </c>
      <c r="AE32" s="108">
        <f>IFERROR(#REF!,0)</f>
        <v>0</v>
      </c>
    </row>
    <row r="33" spans="4:31" ht="13.5" customHeight="1">
      <c r="D33" s="1">
        <v>18</v>
      </c>
      <c r="AB33" s="116"/>
      <c r="AC33" s="117"/>
      <c r="AD33" s="112"/>
      <c r="AE33" s="112"/>
    </row>
    <row r="34" spans="4:31" ht="17.25" customHeight="1">
      <c r="D34" s="1">
        <v>23</v>
      </c>
      <c r="F34" s="15" t="s">
        <v>856</v>
      </c>
      <c r="G34" s="15" t="s">
        <v>857</v>
      </c>
      <c r="H34" s="15" t="s">
        <v>617</v>
      </c>
      <c r="I34" s="15" t="s">
        <v>547</v>
      </c>
      <c r="AB34" s="99">
        <v>2</v>
      </c>
      <c r="AC34" s="118" t="s">
        <v>858</v>
      </c>
      <c r="AD34" s="75">
        <f>IFERROR(((#REF!-#REF!)+(#REF!-#REF!)+(#REF!-#REF!)+(#REF!-#REF!))/((PRD-1)-(PRD-5)),0)</f>
        <v>0</v>
      </c>
      <c r="AE34" s="82">
        <f>IFERROR(((#REF!-#REF!)+(#REF!-#REF!)+(#REF!-#REF!)+(#REF!-#REF!))/((PRD-1)-(PRD-5)),0)</f>
        <v>0</v>
      </c>
    </row>
    <row r="35" spans="4:31" ht="3" customHeight="1">
      <c r="D35" s="1">
        <v>4</v>
      </c>
      <c r="AB35" s="114"/>
      <c r="AC35" s="115"/>
      <c r="AD35" s="112"/>
      <c r="AE35" s="112"/>
    </row>
    <row r="36" spans="4:31" ht="13.5" customHeight="1">
      <c r="D36" s="1">
        <v>18</v>
      </c>
      <c r="AB36" s="100"/>
      <c r="AC36" s="101" t="s">
        <v>844</v>
      </c>
      <c r="AD36" s="112"/>
      <c r="AE36" s="112"/>
    </row>
    <row r="37" spans="4:31" ht="17.25" customHeight="1">
      <c r="D37" s="1">
        <v>23</v>
      </c>
      <c r="AB37" s="100"/>
      <c r="AC37" s="101" t="s">
        <v>859</v>
      </c>
      <c r="AD37" s="112"/>
      <c r="AE37" s="112"/>
    </row>
    <row r="38" spans="4:31" ht="13.5" customHeight="1">
      <c r="D38" s="1">
        <v>18</v>
      </c>
      <c r="F38" s="15" t="s">
        <v>860</v>
      </c>
      <c r="G38" s="15" t="s">
        <v>861</v>
      </c>
      <c r="H38" s="15" t="s">
        <v>617</v>
      </c>
      <c r="I38" s="15" t="s">
        <v>547</v>
      </c>
      <c r="AB38" s="100"/>
      <c r="AC38" s="101" t="s">
        <v>862</v>
      </c>
      <c r="AD38" s="123">
        <f>IFERROR(IFERROR(FIRST_PERIOD_IN_LT-1,0),0)</f>
        <v>2025</v>
      </c>
      <c r="AE38" s="123">
        <f>IFERROR(IFERROR(FIRST_PERIOD_IN_LT-1,0),0)</f>
        <v>2025</v>
      </c>
    </row>
    <row r="39" spans="4:31" ht="13.5" customHeight="1">
      <c r="D39" s="1">
        <v>18</v>
      </c>
      <c r="F39" s="15" t="s">
        <v>863</v>
      </c>
      <c r="G39" s="15" t="s">
        <v>864</v>
      </c>
      <c r="H39" s="15" t="s">
        <v>617</v>
      </c>
      <c r="I39" s="15" t="s">
        <v>547</v>
      </c>
      <c r="AB39" s="100"/>
      <c r="AC39" s="101" t="s">
        <v>865</v>
      </c>
      <c r="AD39" s="124">
        <f>AD38-4</f>
        <v>2021</v>
      </c>
      <c r="AE39" s="125"/>
    </row>
    <row r="40" spans="4:31" ht="15.75" customHeight="1">
      <c r="D40" s="1">
        <v>21</v>
      </c>
      <c r="AB40" s="100"/>
      <c r="AC40" s="101" t="s">
        <v>866</v>
      </c>
      <c r="AD40" s="112"/>
      <c r="AE40" s="112"/>
    </row>
    <row r="41" spans="4:31" ht="3" customHeight="1">
      <c r="D41" s="1">
        <v>4</v>
      </c>
      <c r="AB41" s="116"/>
      <c r="AC41" s="117"/>
      <c r="AD41" s="112"/>
      <c r="AE41" s="112"/>
    </row>
    <row r="42" spans="4:31" ht="15.75" customHeight="1">
      <c r="D42" s="1">
        <v>21</v>
      </c>
      <c r="AB42" s="70">
        <v>3</v>
      </c>
      <c r="AC42" s="126" t="s">
        <v>867</v>
      </c>
      <c r="AD42" s="112"/>
      <c r="AE42" s="112"/>
    </row>
    <row r="43" spans="4:31" ht="13.5" customHeight="1">
      <c r="D43" s="1">
        <v>18</v>
      </c>
      <c r="AB43" s="116"/>
      <c r="AC43" s="117"/>
      <c r="AD43" s="112"/>
      <c r="AE43" s="112"/>
    </row>
    <row r="44" spans="4:31" ht="17.25" customHeight="1">
      <c r="D44" s="1">
        <v>23</v>
      </c>
      <c r="F44" s="15" t="s">
        <v>868</v>
      </c>
      <c r="G44" s="15" t="s">
        <v>869</v>
      </c>
      <c r="H44" s="15" t="s">
        <v>617</v>
      </c>
      <c r="I44" s="15">
        <f>FIRST_PERIOD_IN_LT</f>
        <v>2026</v>
      </c>
      <c r="AB44" s="98">
        <v>4</v>
      </c>
      <c r="AC44" s="111" t="s">
        <v>870</v>
      </c>
      <c r="AD44" s="108">
        <f>IFERROR((1-AD34-AD49)*AD50*(1-AD49)^2*(1+AD47)*(1+AD48)*(1+AD53)*(1+AD58),0)</f>
        <v>0</v>
      </c>
      <c r="AE44" s="108">
        <f>IFERROR((1-AE34-AE49)*AE50*(1-AE49)^2*(1+AE47)*(1+AE48)*(1+AE53)*(1+AE58),0)</f>
        <v>0</v>
      </c>
    </row>
    <row r="45" spans="4:31" ht="13.5" customHeight="1">
      <c r="D45" s="1">
        <v>18</v>
      </c>
      <c r="AB45" s="114"/>
      <c r="AC45" s="115" t="s">
        <v>844</v>
      </c>
      <c r="AD45" s="112"/>
      <c r="AE45" s="112"/>
    </row>
    <row r="46" spans="4:31" ht="13.5" customHeight="1">
      <c r="D46" s="1">
        <v>18</v>
      </c>
      <c r="F46" s="15" t="s">
        <v>871</v>
      </c>
      <c r="G46" s="15" t="s">
        <v>872</v>
      </c>
      <c r="H46" s="15" t="s">
        <v>617</v>
      </c>
      <c r="I46" s="15" t="s">
        <v>547</v>
      </c>
      <c r="AB46" s="100"/>
      <c r="AC46" s="101" t="s">
        <v>862</v>
      </c>
      <c r="AD46" s="103">
        <f>IFERROR(IFERROR(FIRST_PERIOD_IN_LT-1,0),0)</f>
        <v>2025</v>
      </c>
      <c r="AE46" s="103">
        <f>IFERROR(IFERROR(FIRST_PERIOD_IN_LT-1,0),0)</f>
        <v>2025</v>
      </c>
    </row>
    <row r="47" spans="4:31" ht="13.5" customHeight="1">
      <c r="D47" s="1">
        <v>18</v>
      </c>
      <c r="F47" s="15" t="s">
        <v>873</v>
      </c>
      <c r="G47" s="15" t="s">
        <v>874</v>
      </c>
      <c r="H47" s="15" t="s">
        <v>617</v>
      </c>
      <c r="I47" s="15">
        <f>FIRST_PERIOD_IN_LT-1</f>
        <v>2025</v>
      </c>
      <c r="AB47" s="100"/>
      <c r="AC47" s="101" t="str">
        <f>"ИПЦ "&amp;AD46</f>
        <v>ИПЦ 2025</v>
      </c>
      <c r="AD47" s="74">
        <f>IFERROR(#REF!,0)</f>
        <v>0</v>
      </c>
      <c r="AE47" s="127">
        <f>IFERROR(#REF!,0)</f>
        <v>0</v>
      </c>
    </row>
    <row r="48" spans="4:31" ht="13.5" customHeight="1">
      <c r="D48" s="1">
        <v>18</v>
      </c>
      <c r="F48" s="15" t="s">
        <v>873</v>
      </c>
      <c r="G48" s="15" t="s">
        <v>874</v>
      </c>
      <c r="H48" s="15" t="s">
        <v>617</v>
      </c>
      <c r="I48" s="15">
        <f>FIRST_PERIOD_IN_LT</f>
        <v>2026</v>
      </c>
      <c r="AB48" s="116"/>
      <c r="AC48" s="117" t="str">
        <f>"ИПЦ "&amp;AD24</f>
        <v>ИПЦ 2026</v>
      </c>
      <c r="AD48" s="128">
        <f>IFERROR(#REF!,0)</f>
        <v>0</v>
      </c>
      <c r="AE48" s="128">
        <f>IFERROR(#REF!,0)</f>
        <v>0</v>
      </c>
    </row>
    <row r="49" spans="4:31" ht="33" customHeight="1">
      <c r="D49" s="1">
        <v>44</v>
      </c>
      <c r="F49" s="15" t="s">
        <v>875</v>
      </c>
      <c r="G49" s="15" t="s">
        <v>876</v>
      </c>
      <c r="H49" s="15" t="s">
        <v>617</v>
      </c>
      <c r="I49" s="15" t="s">
        <v>547</v>
      </c>
      <c r="AB49" s="99">
        <v>5</v>
      </c>
      <c r="AC49" s="118" t="s">
        <v>877</v>
      </c>
      <c r="AD49" s="121" t="e">
        <f>#REF!</f>
        <v>#REF!</v>
      </c>
      <c r="AE49" s="121" t="e">
        <f>#REF!</f>
        <v>#REF!</v>
      </c>
    </row>
    <row r="50" spans="4:31" ht="55.5" customHeight="1">
      <c r="D50" s="1">
        <v>74</v>
      </c>
      <c r="F50" s="15" t="s">
        <v>878</v>
      </c>
      <c r="G50" s="15" t="s">
        <v>879</v>
      </c>
      <c r="H50" s="15" t="s">
        <v>617</v>
      </c>
      <c r="I50" s="15">
        <f>FIRST_PERIOD_IN_LT-2</f>
        <v>2024</v>
      </c>
      <c r="AB50" s="114"/>
      <c r="AC50" s="115" t="str">
        <f>"OPEXnm-1 - значение фактических экономически обоснованных операционных, подконтрольных расходов ТСО в году m - 1 ("&amp;AD38-1&amp;" год), сформированное в соответствии с Методическими указаниями по регулированию тарифов с применением метода доходности инвестированного капитала или с Методическими указаниями по расчету тарифов на услуги по передаче электрической энергии"</f>
        <v>OPEXnm-1 - значение фактических экономически обоснованных операционных, подконтрольных расходов ТСО в году m - 1 (2024 год), сформированное в соответствии с Методическими указаниями по регулированию тарифов с применением метода доходности инвестированного капитала или с Методическими указаниями по расчету тарифов на услуги по передаче электрической энергии</v>
      </c>
      <c r="AD50" s="108">
        <f>IFERROR((#REF!-#REF!),0)</f>
        <v>0</v>
      </c>
      <c r="AE50" s="108" t="e">
        <f>#REF!</f>
        <v>#REF!</v>
      </c>
    </row>
    <row r="51" spans="4:31" ht="27.75" customHeight="1">
      <c r="D51" s="1">
        <v>37</v>
      </c>
      <c r="AB51" s="100"/>
      <c r="AC51" s="101" t="str">
        <f>"ИКАmn - индекс изменения количества активов, установленный на год m ("&amp;AD38&amp;" год) при расчете долгосрочных тарифов, определяемый как:"</f>
        <v>ИКАmn - индекс изменения количества активов, установленный на год m (2025 год) при расчете долгосрочных тарифов, определяемый как:</v>
      </c>
      <c r="AD51" s="112"/>
      <c r="AE51" s="112"/>
    </row>
    <row r="52" spans="4:31" ht="3" customHeight="1">
      <c r="D52" s="1">
        <v>4</v>
      </c>
      <c r="AB52" s="100"/>
      <c r="AC52" s="101"/>
      <c r="AD52" s="112"/>
      <c r="AE52" s="112"/>
    </row>
    <row r="53" spans="4:31" ht="17.25" customHeight="1">
      <c r="D53" s="1">
        <v>23</v>
      </c>
      <c r="F53" s="15" t="s">
        <v>880</v>
      </c>
      <c r="G53" s="15" t="s">
        <v>881</v>
      </c>
      <c r="H53" s="15" t="s">
        <v>617</v>
      </c>
      <c r="I53" s="15">
        <f>FIRST_PERIOD_IN_LT-1</f>
        <v>2025</v>
      </c>
      <c r="AB53" s="99">
        <v>6</v>
      </c>
      <c r="AC53" s="118" t="s">
        <v>882</v>
      </c>
      <c r="AD53" s="108">
        <f>IFERROR(IF(AD56=0,0,AD63*(AD61-AD56)/AD56),0)</f>
        <v>0</v>
      </c>
      <c r="AE53" s="108">
        <f>IFERROR(IF(AE56=0,0,AE63*(AE61-AE56)/AE56),0)</f>
        <v>0</v>
      </c>
    </row>
    <row r="54" spans="4:31" ht="13.5" customHeight="1">
      <c r="D54" s="1">
        <v>18</v>
      </c>
      <c r="AB54" s="114"/>
      <c r="AC54" s="115"/>
      <c r="AD54" s="112"/>
      <c r="AE54" s="112"/>
    </row>
    <row r="55" spans="4:31" ht="33.75" customHeight="1">
      <c r="D55" s="1">
        <v>45</v>
      </c>
      <c r="AB55" s="100"/>
      <c r="AC55" s="101" t="str">
        <f>"ИКАm+1n -  индекс изменения количества активов, установленный на год m + 1m ("&amp;AD24&amp;" год) при расчете долгосрочных тарифов, определяемый как:"</f>
        <v>ИКАm+1n -  индекс изменения количества активов, установленный на год m + 1m (2026 год) при расчете долгосрочных тарифов, определяемый как:</v>
      </c>
      <c r="AD55" s="112"/>
      <c r="AE55" s="112"/>
    </row>
    <row r="56" spans="4:31" ht="33.75" customHeight="1">
      <c r="D56" s="1">
        <v>45</v>
      </c>
      <c r="F56" s="15" t="s">
        <v>883</v>
      </c>
      <c r="G56" s="15" t="s">
        <v>884</v>
      </c>
      <c r="H56" s="15" t="s">
        <v>617</v>
      </c>
      <c r="I56" s="15">
        <f>FIRST_PERIOD_IN_LT-2</f>
        <v>2024</v>
      </c>
      <c r="AB56" s="100"/>
      <c r="AC56" s="101" t="str">
        <f>"УЕnm-1 - количество условных единиц, относящихся к активам, необходимым для осуществления регулируемой деятельности в году m-1 ("&amp;AD38-1&amp;" год)"</f>
        <v>УЕnm-1 - количество условных единиц, относящихся к активам, необходимым для осуществления регулируемой деятельности в году m-1 (2024 год)</v>
      </c>
      <c r="AD56" s="108">
        <f>IFERROR(#REF!,0)</f>
        <v>0</v>
      </c>
      <c r="AE56" s="129">
        <f>IFERROR(#REF!,0)</f>
        <v>0</v>
      </c>
    </row>
    <row r="57" spans="4:31" ht="3" customHeight="1">
      <c r="D57" s="1">
        <v>4</v>
      </c>
      <c r="AB57" s="116"/>
      <c r="AC57" s="117"/>
      <c r="AD57" s="112"/>
      <c r="AE57" s="112"/>
    </row>
    <row r="58" spans="4:31" ht="17.25" customHeight="1">
      <c r="D58" s="1">
        <v>23</v>
      </c>
      <c r="F58" s="15" t="s">
        <v>880</v>
      </c>
      <c r="G58" s="15" t="s">
        <v>881</v>
      </c>
      <c r="H58" s="15" t="s">
        <v>617</v>
      </c>
      <c r="I58" s="15">
        <f>FIRST_PERIOD_IN_LT</f>
        <v>2026</v>
      </c>
      <c r="AB58" s="99">
        <v>7</v>
      </c>
      <c r="AC58" s="118" t="s">
        <v>885</v>
      </c>
      <c r="AD58" s="108">
        <f>IFERROR(IF(AD61=0,0,AD63*(AD62-AD61)/AD61),0)</f>
        <v>0</v>
      </c>
      <c r="AE58" s="108">
        <f>IFERROR(IF(AE61=0,0,AE63*(AE62-AE61)/AE61),0)</f>
        <v>0</v>
      </c>
    </row>
    <row r="59" spans="4:31" ht="3" customHeight="1">
      <c r="D59" s="1">
        <v>4</v>
      </c>
      <c r="AB59" s="114"/>
      <c r="AC59" s="115"/>
      <c r="AD59" s="112"/>
      <c r="AE59" s="112"/>
    </row>
    <row r="60" spans="4:31" ht="13.5" customHeight="1">
      <c r="D60" s="1">
        <v>18</v>
      </c>
      <c r="AB60" s="100"/>
      <c r="AC60" s="101" t="s">
        <v>844</v>
      </c>
      <c r="AD60" s="112"/>
      <c r="AE60" s="112"/>
    </row>
    <row r="61" spans="4:31" ht="27.75" customHeight="1">
      <c r="D61" s="1">
        <v>37</v>
      </c>
      <c r="F61" s="15" t="s">
        <v>883</v>
      </c>
      <c r="G61" s="15" t="s">
        <v>884</v>
      </c>
      <c r="H61" s="15" t="s">
        <v>617</v>
      </c>
      <c r="I61" s="15">
        <f>FIRST_PERIOD_IN_LT-1</f>
        <v>2025</v>
      </c>
      <c r="AB61" s="100"/>
      <c r="AC61" s="101" t="str">
        <f>"УЕnm - количество условных единиц, относящихся к активам, необходимым для осуществления регулируемой деятельности в году m ("&amp;AD46&amp;" год)"</f>
        <v>УЕnm - количество условных единиц, относящихся к активам, необходимым для осуществления регулируемой деятельности в году m (2025 год)</v>
      </c>
      <c r="AD61" s="108">
        <f>IFERROR(#REF!,0)</f>
        <v>0</v>
      </c>
      <c r="AE61" s="108">
        <f>IFERROR(#REF!,0)</f>
        <v>0</v>
      </c>
    </row>
    <row r="62" spans="4:31" ht="27.75" customHeight="1">
      <c r="D62" s="1">
        <v>37</v>
      </c>
      <c r="F62" s="15" t="s">
        <v>883</v>
      </c>
      <c r="G62" s="15" t="s">
        <v>884</v>
      </c>
      <c r="H62" s="15" t="s">
        <v>617</v>
      </c>
      <c r="I62" s="15">
        <f>FIRST_PERIOD_IN_LT</f>
        <v>2026</v>
      </c>
      <c r="AB62" s="100"/>
      <c r="AC62" s="101" t="str">
        <f>"УЕnm+1 - количество условных единиц, относящихся к активам, необходимым для осуществления регулируемой деятельности в году m + 1 ("&amp;AD24&amp;" год)"</f>
        <v>УЕnm+1 - количество условных единиц, относящихся к активам, необходимым для осуществления регулируемой деятельности в году m + 1 (2026 год)</v>
      </c>
      <c r="AD62" s="108">
        <f>IFERROR(#REF!,0)</f>
        <v>0</v>
      </c>
      <c r="AE62" s="108">
        <f>IFERROR(#REF!,0)</f>
        <v>0</v>
      </c>
    </row>
    <row r="63" spans="4:31" ht="93.75" customHeight="1">
      <c r="D63" s="1">
        <v>125</v>
      </c>
      <c r="F63" s="15" t="s">
        <v>886</v>
      </c>
      <c r="G63" s="15" t="s">
        <v>887</v>
      </c>
      <c r="H63" s="15" t="s">
        <v>617</v>
      </c>
      <c r="I63" s="15" t="s">
        <v>547</v>
      </c>
      <c r="AB63" s="100"/>
      <c r="AC63" s="101" t="s">
        <v>888</v>
      </c>
      <c r="AD63" s="108">
        <v>0.75</v>
      </c>
      <c r="AE63" s="108">
        <v>0.75</v>
      </c>
    </row>
    <row r="64" spans="4:31" ht="3" customHeight="1">
      <c r="D64" s="1">
        <v>4</v>
      </c>
      <c r="AB64" s="116"/>
      <c r="AC64" s="117"/>
      <c r="AD64" s="112"/>
      <c r="AE64" s="112"/>
    </row>
    <row r="65" spans="4:32" ht="15.75" customHeight="1">
      <c r="D65" s="1">
        <v>21</v>
      </c>
      <c r="AB65" s="99">
        <v>8</v>
      </c>
      <c r="AC65" s="130" t="s">
        <v>889</v>
      </c>
      <c r="AD65" s="112"/>
      <c r="AE65" s="112"/>
    </row>
    <row r="66" spans="4:32" ht="13.5" customHeight="1">
      <c r="D66" s="1">
        <v>18</v>
      </c>
      <c r="AB66" s="67"/>
      <c r="AC66" s="79"/>
      <c r="AD66" s="112"/>
      <c r="AE66" s="112"/>
    </row>
    <row r="67" spans="4:32" ht="17.25" customHeight="1">
      <c r="D67" s="1">
        <v>23</v>
      </c>
      <c r="F67" s="15" t="s">
        <v>890</v>
      </c>
      <c r="G67" s="15" t="s">
        <v>891</v>
      </c>
      <c r="H67" s="15" t="s">
        <v>617</v>
      </c>
      <c r="I67" s="15">
        <f>FIRST_PERIOD_IN_LT</f>
        <v>2026</v>
      </c>
      <c r="AB67" s="99">
        <v>9</v>
      </c>
      <c r="AC67" s="118" t="s">
        <v>892</v>
      </c>
      <c r="AD67" s="108">
        <f>IFERROR(AD50*(1-AD49)^2*(1+AD47)*(1+AD48)*(1+AD53)*(1+AD58),0)</f>
        <v>0</v>
      </c>
      <c r="AE67" s="108">
        <f>IFERROR(AE50*(1-AE49)^2*(1+AE47)*(1+AE48)*(1+AE53)*(1+AE58),0)</f>
        <v>0</v>
      </c>
    </row>
    <row r="68" spans="4:32" ht="3" customHeight="1">
      <c r="D68" s="1">
        <v>4</v>
      </c>
      <c r="AB68" s="114"/>
      <c r="AC68" s="115"/>
      <c r="AD68" s="112"/>
      <c r="AE68" s="112"/>
    </row>
    <row r="69" spans="4:32" ht="15.75" customHeight="1">
      <c r="D69" s="1">
        <v>21</v>
      </c>
      <c r="AB69" s="100"/>
      <c r="AC69" s="101" t="s">
        <v>893</v>
      </c>
      <c r="AD69" s="112"/>
      <c r="AE69" s="112"/>
    </row>
    <row r="70" spans="4:32" ht="13.5" customHeight="1">
      <c r="D70" s="1">
        <v>18</v>
      </c>
      <c r="AB70" s="100"/>
      <c r="AC70" s="101" t="s">
        <v>844</v>
      </c>
      <c r="AD70" s="120"/>
      <c r="AE70" s="120"/>
    </row>
    <row r="71" spans="4:32" ht="48" customHeight="1">
      <c r="D71" s="1">
        <v>64</v>
      </c>
      <c r="AB71" s="100"/>
      <c r="AC71" s="101" t="s">
        <v>894</v>
      </c>
      <c r="AD71" s="120"/>
      <c r="AE71" s="120"/>
    </row>
    <row r="72" spans="4:32" ht="33.75" customHeight="1">
      <c r="D72" s="1">
        <v>45</v>
      </c>
      <c r="AB72" s="116"/>
      <c r="AC72" s="117" t="s">
        <v>877</v>
      </c>
      <c r="AD72" s="120"/>
      <c r="AE72" s="120"/>
    </row>
    <row r="73" spans="4:32" ht="18" customHeight="1">
      <c r="D73" s="1">
        <v>24</v>
      </c>
      <c r="F73" s="15" t="s">
        <v>851</v>
      </c>
      <c r="G73" s="15" t="s">
        <v>852</v>
      </c>
      <c r="H73" s="15" t="s">
        <v>617</v>
      </c>
      <c r="I73" s="15" t="s">
        <v>547</v>
      </c>
      <c r="AB73" s="66">
        <v>9</v>
      </c>
      <c r="AC73" s="113" t="s">
        <v>895</v>
      </c>
      <c r="AD73" s="108">
        <f>IFERROR(IF(AD34&lt;-AD49,AD67,AD44),0)</f>
        <v>0</v>
      </c>
      <c r="AE73" s="108">
        <f>IFERROR(IF(AE34&lt;-AE49,AE67,AE44),0)</f>
        <v>0</v>
      </c>
    </row>
    <row r="74" spans="4:32" ht="11.25" hidden="1" customHeight="1">
      <c r="D74">
        <v>0</v>
      </c>
      <c r="AF74" t="s">
        <v>42</v>
      </c>
    </row>
  </sheetData>
  <sheetProtection formatColumns="0" formatRows="0" insertRows="0" deleteColumns="0" deleteRows="0" sort="0" autoFilter="0"/>
  <mergeCells count="5">
    <mergeCell ref="AD24:AD25"/>
    <mergeCell ref="AC24:AC25"/>
    <mergeCell ref="AB24:AB25"/>
    <mergeCell ref="AB21:AD21"/>
    <mergeCell ref="AB22:AC22"/>
  </mergeCells>
  <dataValidations count="1">
    <dataValidation type="whole" allowBlank="1" showErrorMessage="1" errorTitle="Ошибка" error="Допускается ввод только неотрицательных целых чисел!" sqref="AE39" xr:uid="{00000000-0002-0000-0F00-000000000000}">
      <formula1>0</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R117"/>
  <sheetViews>
    <sheetView showGridLines="0" topLeftCell="AA20" workbookViewId="0">
      <selection activeCell="AA20" sqref="AA20"/>
    </sheetView>
  </sheetViews>
  <sheetFormatPr defaultRowHeight="11.25" customHeight="1"/>
  <cols>
    <col min="1" max="1" width="9.140625" hidden="1"/>
    <col min="2" max="2" width="7.140625" hidden="1" customWidth="1"/>
    <col min="3" max="3" width="4.140625" hidden="1" customWidth="1"/>
    <col min="4" max="4" width="4" hidden="1" customWidth="1"/>
    <col min="5" max="5" width="3.5703125" hidden="1" customWidth="1"/>
    <col min="6" max="26" width="3.85546875" hidden="1" customWidth="1"/>
    <col min="27" max="27" width="6.85546875" customWidth="1"/>
    <col min="29" max="29" width="43.42578125" customWidth="1"/>
    <col min="30" max="30" width="14.85546875" customWidth="1"/>
    <col min="31" max="31" width="13.7109375" customWidth="1"/>
    <col min="32" max="32" width="14.85546875" customWidth="1"/>
    <col min="33" max="43" width="13.7109375" customWidth="1"/>
    <col min="44" max="44" width="9.140625" hidden="1"/>
  </cols>
  <sheetData>
    <row r="1" spans="4:44" ht="11.25" hidden="1" customHeight="1"/>
    <row r="2" spans="4:44" ht="9.75" hidden="1" customHeight="1">
      <c r="AN2" s="29" t="b">
        <f>PRD+1&lt;=FIRST_PERIOD_IN_LT+PERIOD_LENGTH-1</f>
        <v>1</v>
      </c>
      <c r="AO2" s="29" t="b">
        <f>PRD+2&lt;=FIRST_PERIOD_IN_LT+PERIOD_LENGTH-1</f>
        <v>1</v>
      </c>
      <c r="AP2" s="29" t="b">
        <f>PRD+3&lt;=FIRST_PERIOD_IN_LT+PERIOD_LENGTH-1</f>
        <v>1</v>
      </c>
      <c r="AQ2" s="29" t="b">
        <f>PRD+4&lt;=FIRST_PERIOD_IN_LT+PERIOD_LENGTH-1</f>
        <v>1</v>
      </c>
    </row>
    <row r="3" spans="4:44" ht="9.75" hidden="1" customHeight="1"/>
    <row r="4" spans="4:44" ht="9.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64</v>
      </c>
      <c r="AC4" s="1">
        <v>304</v>
      </c>
      <c r="AD4" s="1">
        <v>104</v>
      </c>
      <c r="AE4" s="1">
        <v>96</v>
      </c>
      <c r="AF4" s="1">
        <v>104</v>
      </c>
      <c r="AG4" s="1">
        <v>96</v>
      </c>
      <c r="AH4" s="1">
        <v>96</v>
      </c>
      <c r="AI4" s="1">
        <v>96</v>
      </c>
      <c r="AJ4" s="1">
        <v>96</v>
      </c>
      <c r="AK4" s="1">
        <v>96</v>
      </c>
      <c r="AL4" s="1">
        <v>96</v>
      </c>
      <c r="AM4" s="1">
        <v>96</v>
      </c>
      <c r="AN4" s="1">
        <v>96</v>
      </c>
      <c r="AO4" s="1">
        <v>96</v>
      </c>
      <c r="AP4" s="1">
        <v>96</v>
      </c>
      <c r="AQ4" s="1">
        <v>96</v>
      </c>
      <c r="AR4" s="2">
        <v>0</v>
      </c>
    </row>
    <row r="5" spans="4:44" ht="9.75" hidden="1" customHeight="1">
      <c r="D5" s="1">
        <v>40</v>
      </c>
    </row>
    <row r="6" spans="4:44" ht="9.75" hidden="1" customHeight="1">
      <c r="D6" s="1">
        <v>40</v>
      </c>
    </row>
    <row r="7" spans="4:44" ht="9.75" hidden="1" customHeight="1">
      <c r="D7" s="1">
        <v>40</v>
      </c>
    </row>
    <row r="8" spans="4:44" ht="15" hidden="1" customHeight="1">
      <c r="D8" s="1">
        <v>40</v>
      </c>
    </row>
    <row r="9" spans="4:44" ht="11.25" hidden="1" customHeight="1">
      <c r="D9" s="1">
        <v>40</v>
      </c>
      <c r="AJ9" s="859" t="s">
        <v>1038</v>
      </c>
      <c r="AK9" s="781"/>
      <c r="AL9" s="781"/>
      <c r="AM9" s="781"/>
      <c r="AN9" s="781"/>
      <c r="AO9" s="781"/>
      <c r="AP9" s="781"/>
      <c r="AQ9" s="781"/>
    </row>
    <row r="10" spans="4:44" ht="11.25" hidden="1" customHeight="1"/>
    <row r="11" spans="4:44" ht="11.25" hidden="1" customHeight="1"/>
    <row r="12" spans="4:44" ht="11.25" hidden="1" customHeight="1"/>
    <row r="13" spans="4:44" ht="11.25" hidden="1" customHeight="1"/>
    <row r="14" spans="4:44" ht="11.25" hidden="1" customHeight="1"/>
    <row r="15" spans="4:44" ht="11.25" hidden="1" customHeight="1"/>
    <row r="16" spans="4:44" ht="11.25" hidden="1" customHeight="1"/>
    <row r="17" spans="4:43" ht="11.25" hidden="1" customHeight="1"/>
    <row r="18" spans="4:43" ht="11.25" hidden="1" customHeight="1"/>
    <row r="19" spans="4:43" ht="11.25" hidden="1" customHeight="1">
      <c r="D19" s="1">
        <v>40</v>
      </c>
    </row>
    <row r="20" spans="4:43" ht="30" customHeight="1">
      <c r="D20" s="1">
        <v>40</v>
      </c>
    </row>
    <row r="21" spans="4:43" ht="42" customHeight="1">
      <c r="D21" s="1">
        <v>56</v>
      </c>
      <c r="AB21" s="861" t="str">
        <f>ORG</f>
        <v>МУП "Горэлектросети"</v>
      </c>
      <c r="AC21" s="781"/>
      <c r="AD21" s="781"/>
    </row>
    <row r="22" spans="4:43" ht="30" customHeight="1">
      <c r="D22" s="1">
        <v>40</v>
      </c>
      <c r="AB22" s="853" t="str">
        <f>"Расчёт необходимой валовой выручки для "&amp;Титульный!AC27&amp;"(на "&amp;Титульный!AC42&amp;" лет "&amp;Титульный!AC47&amp;")"</f>
        <v>Расчёт необходимой валовой выручки для МУП "Горэлектросети"(на 5 лет 2026-2030)</v>
      </c>
      <c r="AC22" s="853"/>
      <c r="AD22" s="853"/>
      <c r="AE22" s="853"/>
      <c r="AF22" s="853"/>
      <c r="AG22" s="853"/>
      <c r="AH22" s="853"/>
      <c r="AI22" s="853"/>
      <c r="AJ22" s="853"/>
      <c r="AK22" s="853"/>
      <c r="AL22" s="853"/>
      <c r="AM22" s="853"/>
      <c r="AN22" s="853"/>
      <c r="AO22" s="853"/>
      <c r="AP22" s="853"/>
      <c r="AQ22" s="853"/>
    </row>
    <row r="23" spans="4:43" ht="11.25" hidden="1" customHeight="1"/>
    <row r="24" spans="4:43" ht="13.5" customHeight="1">
      <c r="D24" s="1">
        <v>18</v>
      </c>
      <c r="AB24" s="854" t="s">
        <v>1039</v>
      </c>
      <c r="AC24" s="856" t="s">
        <v>843</v>
      </c>
      <c r="AD24" s="856" t="s">
        <v>1040</v>
      </c>
      <c r="AE24" s="856" t="str">
        <f>PRD-2&amp;" год"</f>
        <v>2024 год</v>
      </c>
      <c r="AF24" s="856"/>
      <c r="AG24" s="856"/>
      <c r="AH24" s="856"/>
      <c r="AI24" s="194" t="str">
        <f>PRD-1&amp;" год"</f>
        <v>2025 год</v>
      </c>
      <c r="AJ24" s="857" t="str">
        <f>PRD&amp;" год"</f>
        <v>2026 год</v>
      </c>
      <c r="AK24" s="857"/>
      <c r="AL24" s="857"/>
      <c r="AM24" s="857"/>
      <c r="AN24" s="195" t="str">
        <f>PRD+1&amp;" год"</f>
        <v>2027 год</v>
      </c>
      <c r="AO24" s="195" t="str">
        <f>PRD+2&amp;" год"</f>
        <v>2028 год</v>
      </c>
      <c r="AP24" s="195" t="str">
        <f>PRD+3&amp;" год"</f>
        <v>2029 год</v>
      </c>
      <c r="AQ24" s="195" t="str">
        <f>PRD+4&amp;" год"</f>
        <v>2030 год</v>
      </c>
    </row>
    <row r="25" spans="4:43" ht="53.25" customHeight="1">
      <c r="D25" s="1">
        <v>71</v>
      </c>
      <c r="AB25" s="855"/>
      <c r="AC25" s="856"/>
      <c r="AD25" s="856"/>
      <c r="AE25" s="193" t="s">
        <v>1041</v>
      </c>
      <c r="AF25" s="193" t="s">
        <v>1042</v>
      </c>
      <c r="AG25" s="193" t="s">
        <v>1043</v>
      </c>
      <c r="AH25" s="193" t="s">
        <v>941</v>
      </c>
      <c r="AI25" s="193" t="s">
        <v>1041</v>
      </c>
      <c r="AJ25" s="193" t="s">
        <v>1044</v>
      </c>
      <c r="AK25" s="193" t="s">
        <v>1045</v>
      </c>
      <c r="AL25" s="193" t="s">
        <v>941</v>
      </c>
      <c r="AM25" s="193" t="s">
        <v>1046</v>
      </c>
      <c r="AN25" s="85" t="s">
        <v>899</v>
      </c>
      <c r="AO25" s="85" t="s">
        <v>899</v>
      </c>
      <c r="AP25" s="85" t="s">
        <v>899</v>
      </c>
      <c r="AQ25" s="85" t="s">
        <v>899</v>
      </c>
    </row>
    <row r="26" spans="4:43" ht="13.5" customHeight="1">
      <c r="D26" s="1">
        <v>18</v>
      </c>
      <c r="AB26" s="176">
        <v>1</v>
      </c>
      <c r="AC26" s="176">
        <f>AB26+1</f>
        <v>2</v>
      </c>
      <c r="AD26" s="176">
        <f>AC26+1</f>
        <v>3</v>
      </c>
      <c r="AE26" s="176">
        <f>AD26+1</f>
        <v>4</v>
      </c>
      <c r="AF26" s="176">
        <f>AE26+1</f>
        <v>5</v>
      </c>
      <c r="AG26" s="176">
        <v>6</v>
      </c>
      <c r="AH26" s="176">
        <v>7</v>
      </c>
      <c r="AI26" s="176">
        <f>AH26+1</f>
        <v>8</v>
      </c>
      <c r="AJ26" s="176">
        <v>9</v>
      </c>
      <c r="AK26" s="176">
        <v>10</v>
      </c>
      <c r="AL26" s="176">
        <v>11</v>
      </c>
      <c r="AM26" s="176">
        <f>AL26+1</f>
        <v>12</v>
      </c>
      <c r="AN26" s="176">
        <f>AM26+1</f>
        <v>13</v>
      </c>
      <c r="AO26" s="176">
        <f>AN26+1</f>
        <v>14</v>
      </c>
      <c r="AP26" s="176">
        <v>15</v>
      </c>
      <c r="AQ26" s="176">
        <f>AP26+1</f>
        <v>16</v>
      </c>
    </row>
    <row r="27" spans="4:43" ht="13.5" customHeight="1">
      <c r="D27" s="1">
        <v>18</v>
      </c>
      <c r="AB27" s="196"/>
      <c r="AC27" s="197" t="s">
        <v>1047</v>
      </c>
      <c r="AD27" s="198"/>
      <c r="AE27" s="198"/>
      <c r="AF27" s="198"/>
      <c r="AG27" s="198"/>
      <c r="AH27" s="198"/>
      <c r="AI27" s="198"/>
      <c r="AJ27" s="198"/>
      <c r="AK27" s="198"/>
      <c r="AL27" s="198"/>
      <c r="AM27" s="198"/>
      <c r="AN27" s="198"/>
      <c r="AO27" s="198"/>
      <c r="AP27" s="198"/>
      <c r="AQ27" s="199"/>
    </row>
    <row r="28" spans="4:43" ht="13.5" customHeight="1">
      <c r="D28" s="1">
        <v>18</v>
      </c>
      <c r="AB28" s="200">
        <v>1</v>
      </c>
      <c r="AC28" s="201" t="s">
        <v>874</v>
      </c>
      <c r="AD28" s="200" t="s">
        <v>633</v>
      </c>
      <c r="AE28" s="202" t="e">
        <f>#REF!</f>
        <v>#REF!</v>
      </c>
      <c r="AF28" s="202" t="e">
        <f>#REF!</f>
        <v>#REF!</v>
      </c>
      <c r="AG28" s="202" t="e">
        <f>#REF!</f>
        <v>#REF!</v>
      </c>
      <c r="AH28" s="203">
        <f t="shared" ref="AH28:AH33" si="0">IFERROR(AF28-AE28,0)</f>
        <v>0</v>
      </c>
      <c r="AI28" s="202" t="e">
        <f>#REF!</f>
        <v>#REF!</v>
      </c>
      <c r="AJ28" s="202" t="e">
        <f>#REF!</f>
        <v>#REF!</v>
      </c>
      <c r="AK28" s="202" t="e">
        <f>#REF!</f>
        <v>#REF!</v>
      </c>
      <c r="AL28" s="203" t="e">
        <f t="shared" ref="AL28:AL33" si="1">AK28-AJ28</f>
        <v>#REF!</v>
      </c>
      <c r="AM28" s="203">
        <f t="shared" ref="AM28:AM33" si="2">IFERROR(AK28/AI28-1,0)</f>
        <v>0</v>
      </c>
      <c r="AN28" s="202" t="e">
        <f>#REF!</f>
        <v>#REF!</v>
      </c>
      <c r="AO28" s="202" t="e">
        <f>#REF!</f>
        <v>#REF!</v>
      </c>
      <c r="AP28" s="202" t="e">
        <f>#REF!</f>
        <v>#REF!</v>
      </c>
      <c r="AQ28" s="202" t="e">
        <f>#REF!</f>
        <v>#REF!</v>
      </c>
    </row>
    <row r="29" spans="4:43" ht="27" customHeight="1">
      <c r="D29" s="1">
        <v>36</v>
      </c>
      <c r="AB29" s="200">
        <v>2</v>
      </c>
      <c r="AC29" s="201" t="s">
        <v>1048</v>
      </c>
      <c r="AD29" s="200" t="s">
        <v>633</v>
      </c>
      <c r="AE29" s="202" t="e">
        <f>#REF!</f>
        <v>#REF!</v>
      </c>
      <c r="AF29" s="202" t="e">
        <f>#REF!</f>
        <v>#REF!</v>
      </c>
      <c r="AG29" s="202" t="e">
        <f>#REF!</f>
        <v>#REF!</v>
      </c>
      <c r="AH29" s="203">
        <f t="shared" si="0"/>
        <v>0</v>
      </c>
      <c r="AI29" s="202" t="e">
        <f>#REF!</f>
        <v>#REF!</v>
      </c>
      <c r="AJ29" s="202" t="e">
        <f>#REF!</f>
        <v>#REF!</v>
      </c>
      <c r="AK29" s="202" t="e">
        <f>#REF!</f>
        <v>#REF!</v>
      </c>
      <c r="AL29" s="203" t="e">
        <f t="shared" si="1"/>
        <v>#REF!</v>
      </c>
      <c r="AM29" s="203">
        <f t="shared" si="2"/>
        <v>0</v>
      </c>
      <c r="AN29" s="202" t="e">
        <f>#REF!</f>
        <v>#REF!</v>
      </c>
      <c r="AO29" s="202" t="e">
        <f>#REF!</f>
        <v>#REF!</v>
      </c>
      <c r="AP29" s="202" t="e">
        <f>#REF!</f>
        <v>#REF!</v>
      </c>
      <c r="AQ29" s="202" t="e">
        <f>#REF!</f>
        <v>#REF!</v>
      </c>
    </row>
    <row r="30" spans="4:43" ht="13.5" customHeight="1">
      <c r="D30" s="1">
        <v>18</v>
      </c>
      <c r="AB30" s="200">
        <v>3</v>
      </c>
      <c r="AC30" s="201" t="s">
        <v>947</v>
      </c>
      <c r="AD30" s="200" t="s">
        <v>696</v>
      </c>
      <c r="AE30" s="106" t="e">
        <f>#REF!</f>
        <v>#REF!</v>
      </c>
      <c r="AF30" s="106" t="e">
        <f>#REF!</f>
        <v>#REF!</v>
      </c>
      <c r="AG30" s="106" t="e">
        <f>#REF!</f>
        <v>#REF!</v>
      </c>
      <c r="AH30" s="204">
        <f t="shared" si="0"/>
        <v>0</v>
      </c>
      <c r="AI30" s="106" t="e">
        <f>#REF!</f>
        <v>#REF!</v>
      </c>
      <c r="AJ30" s="106" t="e">
        <f>#REF!</f>
        <v>#REF!</v>
      </c>
      <c r="AK30" s="106" t="e">
        <f>#REF!</f>
        <v>#REF!</v>
      </c>
      <c r="AL30" s="204" t="e">
        <f t="shared" si="1"/>
        <v>#REF!</v>
      </c>
      <c r="AM30" s="203">
        <f t="shared" si="2"/>
        <v>0</v>
      </c>
      <c r="AN30" s="106" t="e">
        <f>#REF!</f>
        <v>#REF!</v>
      </c>
      <c r="AO30" s="106" t="e">
        <f>#REF!</f>
        <v>#REF!</v>
      </c>
      <c r="AP30" s="106" t="e">
        <f>#REF!</f>
        <v>#REF!</v>
      </c>
      <c r="AQ30" s="106" t="e">
        <f>#REF!</f>
        <v>#REF!</v>
      </c>
    </row>
    <row r="31" spans="4:43" ht="13.5" customHeight="1">
      <c r="D31" s="1">
        <v>18</v>
      </c>
      <c r="AB31" s="200">
        <v>4</v>
      </c>
      <c r="AC31" s="201" t="s">
        <v>1049</v>
      </c>
      <c r="AD31" s="200" t="s">
        <v>633</v>
      </c>
      <c r="AE31" s="202" t="e">
        <f>#REF!</f>
        <v>#REF!</v>
      </c>
      <c r="AF31" s="202" t="e">
        <f>#REF!</f>
        <v>#REF!</v>
      </c>
      <c r="AG31" s="202" t="e">
        <f>#REF!</f>
        <v>#REF!</v>
      </c>
      <c r="AH31" s="203">
        <f t="shared" si="0"/>
        <v>0</v>
      </c>
      <c r="AI31" s="202" t="e">
        <f>#REF!</f>
        <v>#REF!</v>
      </c>
      <c r="AJ31" s="202" t="e">
        <f>#REF!</f>
        <v>#REF!</v>
      </c>
      <c r="AK31" s="202" t="e">
        <f>#REF!</f>
        <v>#REF!</v>
      </c>
      <c r="AL31" s="203" t="e">
        <f t="shared" si="1"/>
        <v>#REF!</v>
      </c>
      <c r="AM31" s="203">
        <f t="shared" si="2"/>
        <v>0</v>
      </c>
      <c r="AN31" s="202" t="e">
        <f>#REF!</f>
        <v>#REF!</v>
      </c>
      <c r="AO31" s="202" t="e">
        <f>#REF!</f>
        <v>#REF!</v>
      </c>
      <c r="AP31" s="202" t="e">
        <f>#REF!</f>
        <v>#REF!</v>
      </c>
      <c r="AQ31" s="202" t="e">
        <f>#REF!</f>
        <v>#REF!</v>
      </c>
    </row>
    <row r="32" spans="4:43" ht="27" customHeight="1">
      <c r="D32" s="1">
        <v>36</v>
      </c>
      <c r="AB32" s="200">
        <v>5</v>
      </c>
      <c r="AC32" s="201" t="s">
        <v>1050</v>
      </c>
      <c r="AD32" s="200"/>
      <c r="AE32" s="106" t="e">
        <f>#REF!</f>
        <v>#REF!</v>
      </c>
      <c r="AF32" s="106" t="e">
        <f>#REF!</f>
        <v>#REF!</v>
      </c>
      <c r="AG32" s="106" t="e">
        <f>#REF!</f>
        <v>#REF!</v>
      </c>
      <c r="AH32" s="204">
        <f t="shared" si="0"/>
        <v>0</v>
      </c>
      <c r="AI32" s="106" t="e">
        <f>#REF!</f>
        <v>#REF!</v>
      </c>
      <c r="AJ32" s="106" t="e">
        <f>#REF!</f>
        <v>#REF!</v>
      </c>
      <c r="AK32" s="106" t="e">
        <f>#REF!</f>
        <v>#REF!</v>
      </c>
      <c r="AL32" s="204" t="e">
        <f t="shared" si="1"/>
        <v>#REF!</v>
      </c>
      <c r="AM32" s="203">
        <f t="shared" si="2"/>
        <v>0</v>
      </c>
      <c r="AN32" s="106" t="e">
        <f>#REF!</f>
        <v>#REF!</v>
      </c>
      <c r="AO32" s="106" t="e">
        <f>#REF!</f>
        <v>#REF!</v>
      </c>
      <c r="AP32" s="106" t="e">
        <f>#REF!</f>
        <v>#REF!</v>
      </c>
      <c r="AQ32" s="106" t="e">
        <f>#REF!</f>
        <v>#REF!</v>
      </c>
    </row>
    <row r="33" spans="4:43" ht="13.5" customHeight="1">
      <c r="D33" s="1">
        <v>18</v>
      </c>
      <c r="AB33" s="200">
        <v>6</v>
      </c>
      <c r="AC33" s="201" t="s">
        <v>951</v>
      </c>
      <c r="AD33" s="200"/>
      <c r="AE33" s="205" t="e">
        <f>(1+AE28)*(1-AE29)*(1+AE31*AE32)</f>
        <v>#REF!</v>
      </c>
      <c r="AF33" s="205" t="e">
        <f>(1+AF28)*(1-AF29)*(1+AF31*AF32)</f>
        <v>#REF!</v>
      </c>
      <c r="AG33" s="205" t="e">
        <f>(1+AG28)*(1-AG29)*(1+AG31*AG32)</f>
        <v>#REF!</v>
      </c>
      <c r="AH33" s="205">
        <f t="shared" si="0"/>
        <v>0</v>
      </c>
      <c r="AI33" s="205" t="e">
        <f>(1+AI28)*(1-AI29)*(1+AI31*AI32)</f>
        <v>#REF!</v>
      </c>
      <c r="AJ33" s="205" t="e">
        <f>(1+AJ28)*(1-AJ29)*(1+AJ31*AJ32)</f>
        <v>#REF!</v>
      </c>
      <c r="AK33" s="205" t="e">
        <f>(1+AK28)*(1-AK29)*(1+AK31*AK32)</f>
        <v>#REF!</v>
      </c>
      <c r="AL33" s="205" t="e">
        <f t="shared" si="1"/>
        <v>#REF!</v>
      </c>
      <c r="AM33" s="205">
        <f t="shared" si="2"/>
        <v>0</v>
      </c>
      <c r="AN33" s="205" t="e">
        <f>(1+AN28)*(1-AN29)*(1+AN31*AN32)</f>
        <v>#REF!</v>
      </c>
      <c r="AO33" s="205" t="e">
        <f>(1+AO28)*(1-AO29)*(1+AO31*AO32)</f>
        <v>#REF!</v>
      </c>
      <c r="AP33" s="205" t="e">
        <f>(1+AP28)*(1-AP29)*(1+AP31*AP32)</f>
        <v>#REF!</v>
      </c>
      <c r="AQ33" s="205" t="e">
        <f>(1+AQ28)*(1-AQ29)*(1+AQ31*AQ32)</f>
        <v>#REF!</v>
      </c>
    </row>
    <row r="34" spans="4:43" ht="13.5" customHeight="1">
      <c r="D34" s="1">
        <v>18</v>
      </c>
      <c r="AB34" s="206">
        <v>1</v>
      </c>
      <c r="AC34" s="197" t="s">
        <v>1051</v>
      </c>
      <c r="AD34" s="198"/>
      <c r="AE34" s="198"/>
      <c r="AF34" s="198"/>
      <c r="AG34" s="198"/>
      <c r="AH34" s="198"/>
      <c r="AI34" s="198"/>
      <c r="AJ34" s="198"/>
      <c r="AK34" s="198"/>
      <c r="AL34" s="198"/>
      <c r="AM34" s="198"/>
      <c r="AN34" s="198"/>
      <c r="AO34" s="198"/>
      <c r="AP34" s="198"/>
      <c r="AQ34" s="199"/>
    </row>
    <row r="35" spans="4:43" ht="13.5" customHeight="1">
      <c r="D35" s="1">
        <v>18</v>
      </c>
      <c r="AB35" s="200" t="s">
        <v>1052</v>
      </c>
      <c r="AC35" s="201" t="s">
        <v>758</v>
      </c>
      <c r="AD35" s="200" t="s">
        <v>619</v>
      </c>
      <c r="AE35" s="207" t="e">
        <f>AE36+AE37</f>
        <v>#REF!</v>
      </c>
      <c r="AF35" s="207" t="e">
        <f>AF36+AF37</f>
        <v>#REF!</v>
      </c>
      <c r="AG35" s="207" t="e">
        <f>AG36+AG37</f>
        <v>#REF!</v>
      </c>
      <c r="AH35" s="207">
        <f t="shared" ref="AH35:AH58" si="3">IFERROR(AF35-AE35,0)</f>
        <v>0</v>
      </c>
      <c r="AI35" s="207" t="e">
        <f>AI36+AI37</f>
        <v>#REF!</v>
      </c>
      <c r="AJ35" s="207" t="e">
        <f>AJ36+AJ37</f>
        <v>#REF!</v>
      </c>
      <c r="AK35" s="207" t="e">
        <f>AK36+AK37</f>
        <v>#REF!</v>
      </c>
      <c r="AL35" s="207" t="e">
        <f t="shared" ref="AL35:AL58" si="4">AK35-AJ35</f>
        <v>#REF!</v>
      </c>
      <c r="AM35" s="208">
        <f t="shared" ref="AM35:AM58" si="5">IFERROR(AK35/AI35-1,0)</f>
        <v>0</v>
      </c>
      <c r="AN35" s="207" t="e">
        <f>AN36+AN37</f>
        <v>#REF!</v>
      </c>
      <c r="AO35" s="207" t="e">
        <f>AO36+AO37</f>
        <v>#REF!</v>
      </c>
      <c r="AP35" s="207" t="e">
        <f>AP36+AP37</f>
        <v>#REF!</v>
      </c>
      <c r="AQ35" s="207" t="e">
        <f>AQ36+AQ37</f>
        <v>#REF!</v>
      </c>
    </row>
    <row r="36" spans="4:43" ht="27" customHeight="1">
      <c r="D36" s="1">
        <v>36</v>
      </c>
      <c r="AB36" s="176" t="s">
        <v>1053</v>
      </c>
      <c r="AC36" s="192" t="s">
        <v>760</v>
      </c>
      <c r="AD36" s="176" t="s">
        <v>619</v>
      </c>
      <c r="AE36" s="209" t="e">
        <f>#REF!</f>
        <v>#REF!</v>
      </c>
      <c r="AF36" s="209" t="e">
        <f>#REF!</f>
        <v>#REF!</v>
      </c>
      <c r="AG36" s="209" t="e">
        <f>#REF!</f>
        <v>#REF!</v>
      </c>
      <c r="AH36" s="207">
        <f t="shared" si="3"/>
        <v>0</v>
      </c>
      <c r="AI36" s="209" t="e">
        <f>#REF!</f>
        <v>#REF!</v>
      </c>
      <c r="AJ36" s="209" t="e">
        <f>#REF!</f>
        <v>#REF!</v>
      </c>
      <c r="AK36" s="209" t="e">
        <f>#REF!</f>
        <v>#REF!</v>
      </c>
      <c r="AL36" s="207" t="e">
        <f t="shared" si="4"/>
        <v>#REF!</v>
      </c>
      <c r="AM36" s="208">
        <f t="shared" si="5"/>
        <v>0</v>
      </c>
      <c r="AN36" s="209" t="e">
        <f>#REF!*AN33</f>
        <v>#REF!</v>
      </c>
      <c r="AO36" s="209" t="e">
        <f>AN36*$AO$33</f>
        <v>#REF!</v>
      </c>
      <c r="AP36" s="209" t="e">
        <f>AO36*$AP$33</f>
        <v>#REF!</v>
      </c>
      <c r="AQ36" s="209" t="e">
        <f>AP36*$AQ$33</f>
        <v>#REF!</v>
      </c>
    </row>
    <row r="37" spans="4:43" ht="54" customHeight="1">
      <c r="D37" s="1">
        <v>72</v>
      </c>
      <c r="AB37" s="176" t="s">
        <v>1054</v>
      </c>
      <c r="AC37" s="192" t="s">
        <v>761</v>
      </c>
      <c r="AD37" s="176" t="s">
        <v>619</v>
      </c>
      <c r="AE37" s="209" t="e">
        <f>#REF!</f>
        <v>#REF!</v>
      </c>
      <c r="AF37" s="209" t="e">
        <f>#REF!</f>
        <v>#REF!</v>
      </c>
      <c r="AG37" s="209" t="e">
        <f>#REF!</f>
        <v>#REF!</v>
      </c>
      <c r="AH37" s="207">
        <f t="shared" si="3"/>
        <v>0</v>
      </c>
      <c r="AI37" s="209" t="e">
        <f>#REF!</f>
        <v>#REF!</v>
      </c>
      <c r="AJ37" s="209" t="e">
        <f>#REF!</f>
        <v>#REF!</v>
      </c>
      <c r="AK37" s="209" t="e">
        <f>#REF!</f>
        <v>#REF!</v>
      </c>
      <c r="AL37" s="207" t="e">
        <f t="shared" si="4"/>
        <v>#REF!</v>
      </c>
      <c r="AM37" s="208">
        <f t="shared" si="5"/>
        <v>0</v>
      </c>
      <c r="AN37" s="209" t="e">
        <f>#REF!*AN33</f>
        <v>#REF!</v>
      </c>
      <c r="AO37" s="209" t="e">
        <f>AN37*$AO$33</f>
        <v>#REF!</v>
      </c>
      <c r="AP37" s="209" t="e">
        <f>AO37*$AP$33</f>
        <v>#REF!</v>
      </c>
      <c r="AQ37" s="209" t="e">
        <f>AP37*$AQ$33</f>
        <v>#REF!</v>
      </c>
    </row>
    <row r="38" spans="4:43" ht="13.5" customHeight="1">
      <c r="D38" s="1">
        <v>18</v>
      </c>
      <c r="AB38" s="176" t="s">
        <v>1055</v>
      </c>
      <c r="AC38" s="192" t="s">
        <v>560</v>
      </c>
      <c r="AD38" s="176" t="s">
        <v>619</v>
      </c>
      <c r="AE38" s="209" t="e">
        <f>#REF!</f>
        <v>#REF!</v>
      </c>
      <c r="AF38" s="209" t="e">
        <f>#REF!</f>
        <v>#REF!</v>
      </c>
      <c r="AG38" s="209" t="e">
        <f>#REF!</f>
        <v>#REF!</v>
      </c>
      <c r="AH38" s="207">
        <f t="shared" si="3"/>
        <v>0</v>
      </c>
      <c r="AI38" s="209" t="e">
        <f>#REF!</f>
        <v>#REF!</v>
      </c>
      <c r="AJ38" s="209" t="e">
        <f>#REF!</f>
        <v>#REF!</v>
      </c>
      <c r="AK38" s="209" t="e">
        <f>#REF!</f>
        <v>#REF!</v>
      </c>
      <c r="AL38" s="207" t="e">
        <f t="shared" si="4"/>
        <v>#REF!</v>
      </c>
      <c r="AM38" s="208">
        <f t="shared" si="5"/>
        <v>0</v>
      </c>
      <c r="AN38" s="209" t="e">
        <f>#REF!*AN33</f>
        <v>#REF!</v>
      </c>
      <c r="AO38" s="209" t="e">
        <f>AN38*$AO$33</f>
        <v>#REF!</v>
      </c>
      <c r="AP38" s="209" t="e">
        <f>AO38*$AP$33</f>
        <v>#REF!</v>
      </c>
      <c r="AQ38" s="209" t="e">
        <f>AP38*$AQ$33</f>
        <v>#REF!</v>
      </c>
    </row>
    <row r="39" spans="4:43" ht="13.5" customHeight="1">
      <c r="D39" s="1">
        <v>18</v>
      </c>
      <c r="AB39" s="176"/>
      <c r="AC39" s="210" t="s">
        <v>958</v>
      </c>
      <c r="AD39" s="176" t="s">
        <v>959</v>
      </c>
      <c r="AE39" s="209" t="e">
        <f>#REF!</f>
        <v>#REF!</v>
      </c>
      <c r="AF39" s="209" t="e">
        <f>#REF!</f>
        <v>#REF!</v>
      </c>
      <c r="AG39" s="209" t="e">
        <f>#REF!</f>
        <v>#REF!</v>
      </c>
      <c r="AH39" s="207">
        <f t="shared" si="3"/>
        <v>0</v>
      </c>
      <c r="AI39" s="209" t="e">
        <f>#REF!</f>
        <v>#REF!</v>
      </c>
      <c r="AJ39" s="209" t="e">
        <f>#REF!</f>
        <v>#REF!</v>
      </c>
      <c r="AK39" s="209" t="e">
        <f>#REF!</f>
        <v>#REF!</v>
      </c>
      <c r="AL39" s="207" t="e">
        <f t="shared" si="4"/>
        <v>#REF!</v>
      </c>
      <c r="AM39" s="208">
        <f t="shared" si="5"/>
        <v>0</v>
      </c>
      <c r="AN39" s="209" t="e">
        <f>#REF!*AN33</f>
        <v>#REF!</v>
      </c>
      <c r="AO39" s="209" t="e">
        <f>AN39*$AO$33</f>
        <v>#REF!</v>
      </c>
      <c r="AP39" s="209" t="e">
        <f>AO39*$AP$33</f>
        <v>#REF!</v>
      </c>
      <c r="AQ39" s="209" t="e">
        <f>AP39*$AQ$33</f>
        <v>#REF!</v>
      </c>
    </row>
    <row r="40" spans="4:43" ht="27" customHeight="1">
      <c r="D40" s="1">
        <v>36</v>
      </c>
      <c r="AB40" s="176"/>
      <c r="AC40" s="210" t="s">
        <v>960</v>
      </c>
      <c r="AD40" s="176" t="s">
        <v>961</v>
      </c>
      <c r="AE40" s="207">
        <f>IFERROR(AE38/AE39/12*1000,0)</f>
        <v>0</v>
      </c>
      <c r="AF40" s="207">
        <f>IFERROR(AF38/AF39/12*1000,0)</f>
        <v>0</v>
      </c>
      <c r="AG40" s="207">
        <f>IFERROR(AG38/AG39/12*1000,0)</f>
        <v>0</v>
      </c>
      <c r="AH40" s="207">
        <f t="shared" si="3"/>
        <v>0</v>
      </c>
      <c r="AI40" s="207">
        <f>IFERROR(AI38/AI39/12*1000,0)</f>
        <v>0</v>
      </c>
      <c r="AJ40" s="207">
        <f>IFERROR(AJ38/AJ39/12*1000,0)</f>
        <v>0</v>
      </c>
      <c r="AK40" s="207">
        <f>IFERROR(AK38/AK39/12*1000,0)</f>
        <v>0</v>
      </c>
      <c r="AL40" s="207">
        <f t="shared" si="4"/>
        <v>0</v>
      </c>
      <c r="AM40" s="208">
        <f t="shared" si="5"/>
        <v>0</v>
      </c>
      <c r="AN40" s="207">
        <f>IFERROR(AN38/AN39/12*1000,0)</f>
        <v>0</v>
      </c>
      <c r="AO40" s="207">
        <f>IFERROR(AO38/AO39/12*1000,0)</f>
        <v>0</v>
      </c>
      <c r="AP40" s="207">
        <f>IFERROR(AP38/AP39/12*1000,0)</f>
        <v>0</v>
      </c>
      <c r="AQ40" s="207">
        <f>IFERROR(AQ38/AQ39/12*1000,0)</f>
        <v>0</v>
      </c>
    </row>
    <row r="41" spans="4:43" ht="13.5" customHeight="1">
      <c r="D41" s="1">
        <v>18</v>
      </c>
      <c r="AB41" s="176" t="s">
        <v>1056</v>
      </c>
      <c r="AC41" s="192" t="s">
        <v>1057</v>
      </c>
      <c r="AD41" s="176" t="s">
        <v>619</v>
      </c>
      <c r="AE41" s="207" t="e">
        <f>SUM(AE42:AE43,AE50:AE56)</f>
        <v>#REF!</v>
      </c>
      <c r="AF41" s="207" t="e">
        <f>SUM(AF42:AF43,AF50:AF56)</f>
        <v>#REF!</v>
      </c>
      <c r="AG41" s="207" t="e">
        <f>SUM(AG42:AG43,AG50:AG56)</f>
        <v>#REF!</v>
      </c>
      <c r="AH41" s="207">
        <f t="shared" si="3"/>
        <v>0</v>
      </c>
      <c r="AI41" s="207" t="e">
        <f>SUM(AI42:AI43,AI50:AI56)</f>
        <v>#REF!</v>
      </c>
      <c r="AJ41" s="207" t="e">
        <f>SUM(AJ42:AJ43,AJ50:AJ56)</f>
        <v>#REF!</v>
      </c>
      <c r="AK41" s="207" t="e">
        <f>SUM(AK42:AK43,AK50:AK56)</f>
        <v>#REF!</v>
      </c>
      <c r="AL41" s="207" t="e">
        <f t="shared" si="4"/>
        <v>#REF!</v>
      </c>
      <c r="AM41" s="208">
        <f t="shared" si="5"/>
        <v>0</v>
      </c>
      <c r="AN41" s="207" t="e">
        <f>SUM(AN42:AN43,AN50:AN56)</f>
        <v>#REF!</v>
      </c>
      <c r="AO41" s="207" t="e">
        <f>SUM(AO42:AO43,AO50:AO56)</f>
        <v>#REF!</v>
      </c>
      <c r="AP41" s="207" t="e">
        <f>SUM(AP42:AP43,AP50:AP56)</f>
        <v>#REF!</v>
      </c>
      <c r="AQ41" s="207" t="e">
        <f>SUM(AQ42:AQ43,AQ50:AQ56)</f>
        <v>#REF!</v>
      </c>
    </row>
    <row r="42" spans="4:43" ht="13.5" customHeight="1">
      <c r="D42" s="1">
        <v>18</v>
      </c>
      <c r="AB42" s="176" t="s">
        <v>1058</v>
      </c>
      <c r="AC42" s="192" t="s">
        <v>1059</v>
      </c>
      <c r="AD42" s="176" t="s">
        <v>619</v>
      </c>
      <c r="AE42" s="209" t="e">
        <f>#REF!</f>
        <v>#REF!</v>
      </c>
      <c r="AF42" s="209" t="e">
        <f>#REF!</f>
        <v>#REF!</v>
      </c>
      <c r="AG42" s="209" t="e">
        <f>#REF!</f>
        <v>#REF!</v>
      </c>
      <c r="AH42" s="207">
        <f t="shared" si="3"/>
        <v>0</v>
      </c>
      <c r="AI42" s="209" t="e">
        <f>#REF!</f>
        <v>#REF!</v>
      </c>
      <c r="AJ42" s="209" t="e">
        <f>#REF!</f>
        <v>#REF!</v>
      </c>
      <c r="AK42" s="209" t="e">
        <f>#REF!</f>
        <v>#REF!</v>
      </c>
      <c r="AL42" s="207" t="e">
        <f t="shared" si="4"/>
        <v>#REF!</v>
      </c>
      <c r="AM42" s="208">
        <f t="shared" si="5"/>
        <v>0</v>
      </c>
      <c r="AN42" s="209" t="e">
        <f>#REF!*AN33</f>
        <v>#REF!</v>
      </c>
      <c r="AO42" s="209" t="e">
        <f>AN42*$AO$33</f>
        <v>#REF!</v>
      </c>
      <c r="AP42" s="209" t="e">
        <f>AO42*$AP$33</f>
        <v>#REF!</v>
      </c>
      <c r="AQ42" s="209" t="e">
        <f>AP42*$AQ$33</f>
        <v>#REF!</v>
      </c>
    </row>
    <row r="43" spans="4:43" ht="27" customHeight="1">
      <c r="D43" s="1">
        <v>36</v>
      </c>
      <c r="AB43" s="176" t="s">
        <v>1060</v>
      </c>
      <c r="AC43" s="192" t="s">
        <v>964</v>
      </c>
      <c r="AD43" s="176" t="s">
        <v>619</v>
      </c>
      <c r="AE43" s="207" t="e">
        <f>SUM(AE44:AE49)</f>
        <v>#REF!</v>
      </c>
      <c r="AF43" s="207" t="e">
        <f>SUM(AF44:AF49)</f>
        <v>#REF!</v>
      </c>
      <c r="AG43" s="207" t="e">
        <f>SUM(AG44:AG49)</f>
        <v>#REF!</v>
      </c>
      <c r="AH43" s="207">
        <f t="shared" si="3"/>
        <v>0</v>
      </c>
      <c r="AI43" s="207" t="e">
        <f>SUM(AI44:AI49)</f>
        <v>#REF!</v>
      </c>
      <c r="AJ43" s="207" t="e">
        <f>SUM(AJ44:AJ49)</f>
        <v>#REF!</v>
      </c>
      <c r="AK43" s="207" t="e">
        <f>SUM(AK44:AK49)</f>
        <v>#REF!</v>
      </c>
      <c r="AL43" s="207" t="e">
        <f t="shared" si="4"/>
        <v>#REF!</v>
      </c>
      <c r="AM43" s="208">
        <f t="shared" si="5"/>
        <v>0</v>
      </c>
      <c r="AN43" s="207" t="e">
        <f>SUM(AN44:AN49)</f>
        <v>#REF!</v>
      </c>
      <c r="AO43" s="207" t="e">
        <f>SUM(AO44:AO49)</f>
        <v>#REF!</v>
      </c>
      <c r="AP43" s="207" t="e">
        <f>SUM(AP44:AP49)</f>
        <v>#REF!</v>
      </c>
      <c r="AQ43" s="207" t="e">
        <f>SUM(AQ44:AQ49)</f>
        <v>#REF!</v>
      </c>
    </row>
    <row r="44" spans="4:43" ht="13.5" customHeight="1">
      <c r="D44" s="1">
        <v>18</v>
      </c>
      <c r="AB44" s="176" t="s">
        <v>1061</v>
      </c>
      <c r="AC44" s="210" t="s">
        <v>1062</v>
      </c>
      <c r="AD44" s="176" t="s">
        <v>619</v>
      </c>
      <c r="AE44" s="209" t="e">
        <f>#REF!</f>
        <v>#REF!</v>
      </c>
      <c r="AF44" s="209" t="e">
        <f>#REF!</f>
        <v>#REF!</v>
      </c>
      <c r="AG44" s="209" t="e">
        <f>#REF!</f>
        <v>#REF!</v>
      </c>
      <c r="AH44" s="207">
        <f t="shared" si="3"/>
        <v>0</v>
      </c>
      <c r="AI44" s="209" t="e">
        <f>#REF!</f>
        <v>#REF!</v>
      </c>
      <c r="AJ44" s="209" t="e">
        <f>#REF!</f>
        <v>#REF!</v>
      </c>
      <c r="AK44" s="209" t="e">
        <f>#REF!</f>
        <v>#REF!</v>
      </c>
      <c r="AL44" s="207" t="e">
        <f t="shared" si="4"/>
        <v>#REF!</v>
      </c>
      <c r="AM44" s="208">
        <f t="shared" si="5"/>
        <v>0</v>
      </c>
      <c r="AN44" s="209" t="e">
        <f>#REF!*AN33</f>
        <v>#REF!</v>
      </c>
      <c r="AO44" s="209" t="e">
        <f t="shared" ref="AO44:AO57" si="6">AN44*$AO$33</f>
        <v>#REF!</v>
      </c>
      <c r="AP44" s="209" t="e">
        <f t="shared" ref="AP44:AP57" si="7">AO44*$AP$33</f>
        <v>#REF!</v>
      </c>
      <c r="AQ44" s="209" t="e">
        <f t="shared" ref="AQ44:AQ57" si="8">AP44*$AQ$33</f>
        <v>#REF!</v>
      </c>
    </row>
    <row r="45" spans="4:43" ht="27" customHeight="1">
      <c r="D45" s="1">
        <v>36</v>
      </c>
      <c r="AB45" s="176" t="s">
        <v>1063</v>
      </c>
      <c r="AC45" s="210" t="s">
        <v>1064</v>
      </c>
      <c r="AD45" s="176" t="s">
        <v>619</v>
      </c>
      <c r="AE45" s="209" t="e">
        <f>#REF!</f>
        <v>#REF!</v>
      </c>
      <c r="AF45" s="209" t="e">
        <f>#REF!</f>
        <v>#REF!</v>
      </c>
      <c r="AG45" s="209" t="e">
        <f>#REF!</f>
        <v>#REF!</v>
      </c>
      <c r="AH45" s="207">
        <f t="shared" si="3"/>
        <v>0</v>
      </c>
      <c r="AI45" s="209" t="e">
        <f>#REF!</f>
        <v>#REF!</v>
      </c>
      <c r="AJ45" s="209" t="e">
        <f>#REF!</f>
        <v>#REF!</v>
      </c>
      <c r="AK45" s="209" t="e">
        <f>#REF!</f>
        <v>#REF!</v>
      </c>
      <c r="AL45" s="207" t="e">
        <f t="shared" si="4"/>
        <v>#REF!</v>
      </c>
      <c r="AM45" s="208">
        <f t="shared" si="5"/>
        <v>0</v>
      </c>
      <c r="AN45" s="209" t="e">
        <f>#REF!*AN33</f>
        <v>#REF!</v>
      </c>
      <c r="AO45" s="209" t="e">
        <f t="shared" si="6"/>
        <v>#REF!</v>
      </c>
      <c r="AP45" s="209" t="e">
        <f t="shared" si="7"/>
        <v>#REF!</v>
      </c>
      <c r="AQ45" s="209" t="e">
        <f t="shared" si="8"/>
        <v>#REF!</v>
      </c>
    </row>
    <row r="46" spans="4:43" ht="27" customHeight="1">
      <c r="D46" s="1">
        <v>36</v>
      </c>
      <c r="AB46" s="176" t="s">
        <v>1065</v>
      </c>
      <c r="AC46" s="210" t="s">
        <v>1066</v>
      </c>
      <c r="AD46" s="176" t="s">
        <v>619</v>
      </c>
      <c r="AE46" s="209" t="e">
        <f>#REF!</f>
        <v>#REF!</v>
      </c>
      <c r="AF46" s="209" t="e">
        <f>#REF!</f>
        <v>#REF!</v>
      </c>
      <c r="AG46" s="209" t="e">
        <f>#REF!</f>
        <v>#REF!</v>
      </c>
      <c r="AH46" s="207">
        <f t="shared" si="3"/>
        <v>0</v>
      </c>
      <c r="AI46" s="209" t="e">
        <f>#REF!</f>
        <v>#REF!</v>
      </c>
      <c r="AJ46" s="209" t="e">
        <f>#REF!</f>
        <v>#REF!</v>
      </c>
      <c r="AK46" s="209" t="e">
        <f>#REF!</f>
        <v>#REF!</v>
      </c>
      <c r="AL46" s="207" t="e">
        <f t="shared" si="4"/>
        <v>#REF!</v>
      </c>
      <c r="AM46" s="208">
        <f t="shared" si="5"/>
        <v>0</v>
      </c>
      <c r="AN46" s="209" t="e">
        <f>#REF!*AN33</f>
        <v>#REF!</v>
      </c>
      <c r="AO46" s="209" t="e">
        <f t="shared" si="6"/>
        <v>#REF!</v>
      </c>
      <c r="AP46" s="209" t="e">
        <f t="shared" si="7"/>
        <v>#REF!</v>
      </c>
      <c r="AQ46" s="209" t="e">
        <f t="shared" si="8"/>
        <v>#REF!</v>
      </c>
    </row>
    <row r="47" spans="4:43" ht="27" customHeight="1">
      <c r="D47" s="1">
        <v>36</v>
      </c>
      <c r="AB47" s="176" t="s">
        <v>1067</v>
      </c>
      <c r="AC47" s="210" t="s">
        <v>1068</v>
      </c>
      <c r="AD47" s="176" t="s">
        <v>619</v>
      </c>
      <c r="AE47" s="209" t="e">
        <f>#REF!</f>
        <v>#REF!</v>
      </c>
      <c r="AF47" s="209" t="e">
        <f>#REF!</f>
        <v>#REF!</v>
      </c>
      <c r="AG47" s="209" t="e">
        <f>#REF!</f>
        <v>#REF!</v>
      </c>
      <c r="AH47" s="207">
        <f t="shared" si="3"/>
        <v>0</v>
      </c>
      <c r="AI47" s="209" t="e">
        <f>#REF!</f>
        <v>#REF!</v>
      </c>
      <c r="AJ47" s="209" t="e">
        <f>#REF!</f>
        <v>#REF!</v>
      </c>
      <c r="AK47" s="209" t="e">
        <f>#REF!</f>
        <v>#REF!</v>
      </c>
      <c r="AL47" s="207" t="e">
        <f t="shared" si="4"/>
        <v>#REF!</v>
      </c>
      <c r="AM47" s="208">
        <f t="shared" si="5"/>
        <v>0</v>
      </c>
      <c r="AN47" s="209" t="e">
        <f>#REF!*AN33</f>
        <v>#REF!</v>
      </c>
      <c r="AO47" s="209" t="e">
        <f t="shared" si="6"/>
        <v>#REF!</v>
      </c>
      <c r="AP47" s="209" t="e">
        <f t="shared" si="7"/>
        <v>#REF!</v>
      </c>
      <c r="AQ47" s="209" t="e">
        <f t="shared" si="8"/>
        <v>#REF!</v>
      </c>
    </row>
    <row r="48" spans="4:43" ht="13.5" customHeight="1">
      <c r="D48" s="1">
        <v>18</v>
      </c>
      <c r="AB48" s="176" t="s">
        <v>1069</v>
      </c>
      <c r="AC48" s="210" t="s">
        <v>1070</v>
      </c>
      <c r="AD48" s="176" t="s">
        <v>619</v>
      </c>
      <c r="AE48" s="209" t="e">
        <f>#REF!</f>
        <v>#REF!</v>
      </c>
      <c r="AF48" s="209" t="e">
        <f>#REF!</f>
        <v>#REF!</v>
      </c>
      <c r="AG48" s="209" t="e">
        <f>#REF!</f>
        <v>#REF!</v>
      </c>
      <c r="AH48" s="207">
        <f t="shared" si="3"/>
        <v>0</v>
      </c>
      <c r="AI48" s="209" t="e">
        <f>#REF!</f>
        <v>#REF!</v>
      </c>
      <c r="AJ48" s="209" t="e">
        <f>#REF!</f>
        <v>#REF!</v>
      </c>
      <c r="AK48" s="209" t="e">
        <f>#REF!</f>
        <v>#REF!</v>
      </c>
      <c r="AL48" s="207" t="e">
        <f t="shared" si="4"/>
        <v>#REF!</v>
      </c>
      <c r="AM48" s="208">
        <f t="shared" si="5"/>
        <v>0</v>
      </c>
      <c r="AN48" s="209" t="e">
        <f>#REF!*AN33</f>
        <v>#REF!</v>
      </c>
      <c r="AO48" s="209" t="e">
        <f t="shared" si="6"/>
        <v>#REF!</v>
      </c>
      <c r="AP48" s="209" t="e">
        <f t="shared" si="7"/>
        <v>#REF!</v>
      </c>
      <c r="AQ48" s="209" t="e">
        <f t="shared" si="8"/>
        <v>#REF!</v>
      </c>
    </row>
    <row r="49" spans="4:43" ht="13.5" customHeight="1">
      <c r="D49" s="1">
        <v>18</v>
      </c>
      <c r="AB49" s="176" t="s">
        <v>1071</v>
      </c>
      <c r="AC49" s="210" t="s">
        <v>1072</v>
      </c>
      <c r="AD49" s="176" t="s">
        <v>619</v>
      </c>
      <c r="AE49" s="209" t="e">
        <f>#REF!</f>
        <v>#REF!</v>
      </c>
      <c r="AF49" s="209" t="e">
        <f>#REF!</f>
        <v>#REF!</v>
      </c>
      <c r="AG49" s="209" t="e">
        <f>#REF!</f>
        <v>#REF!</v>
      </c>
      <c r="AH49" s="207">
        <f t="shared" si="3"/>
        <v>0</v>
      </c>
      <c r="AI49" s="209" t="e">
        <f>#REF!</f>
        <v>#REF!</v>
      </c>
      <c r="AJ49" s="209" t="e">
        <f>#REF!</f>
        <v>#REF!</v>
      </c>
      <c r="AK49" s="209" t="e">
        <f>#REF!</f>
        <v>#REF!</v>
      </c>
      <c r="AL49" s="207" t="e">
        <f t="shared" si="4"/>
        <v>#REF!</v>
      </c>
      <c r="AM49" s="208">
        <f t="shared" si="5"/>
        <v>0</v>
      </c>
      <c r="AN49" s="209" t="e">
        <f>#REF!*AN33</f>
        <v>#REF!</v>
      </c>
      <c r="AO49" s="209" t="e">
        <f t="shared" si="6"/>
        <v>#REF!</v>
      </c>
      <c r="AP49" s="209" t="e">
        <f t="shared" si="7"/>
        <v>#REF!</v>
      </c>
      <c r="AQ49" s="209" t="e">
        <f t="shared" si="8"/>
        <v>#REF!</v>
      </c>
    </row>
    <row r="50" spans="4:43" ht="27" customHeight="1">
      <c r="D50" s="1">
        <v>36</v>
      </c>
      <c r="AB50" s="176" t="s">
        <v>1073</v>
      </c>
      <c r="AC50" s="192" t="s">
        <v>970</v>
      </c>
      <c r="AD50" s="176" t="s">
        <v>619</v>
      </c>
      <c r="AE50" s="209" t="e">
        <f>#REF!</f>
        <v>#REF!</v>
      </c>
      <c r="AF50" s="209" t="e">
        <f>#REF!</f>
        <v>#REF!</v>
      </c>
      <c r="AG50" s="209" t="e">
        <f>#REF!</f>
        <v>#REF!</v>
      </c>
      <c r="AH50" s="207">
        <f t="shared" si="3"/>
        <v>0</v>
      </c>
      <c r="AI50" s="209" t="e">
        <f>#REF!</f>
        <v>#REF!</v>
      </c>
      <c r="AJ50" s="209" t="e">
        <f>#REF!</f>
        <v>#REF!</v>
      </c>
      <c r="AK50" s="209" t="e">
        <f>#REF!</f>
        <v>#REF!</v>
      </c>
      <c r="AL50" s="207" t="e">
        <f t="shared" si="4"/>
        <v>#REF!</v>
      </c>
      <c r="AM50" s="208">
        <f t="shared" si="5"/>
        <v>0</v>
      </c>
      <c r="AN50" s="209" t="e">
        <f>#REF!*AN33</f>
        <v>#REF!</v>
      </c>
      <c r="AO50" s="209" t="e">
        <f t="shared" si="6"/>
        <v>#REF!</v>
      </c>
      <c r="AP50" s="209" t="e">
        <f t="shared" si="7"/>
        <v>#REF!</v>
      </c>
      <c r="AQ50" s="209" t="e">
        <f t="shared" si="8"/>
        <v>#REF!</v>
      </c>
    </row>
    <row r="51" spans="4:43" ht="13.5" customHeight="1">
      <c r="D51" s="1">
        <v>18</v>
      </c>
      <c r="AB51" s="176" t="s">
        <v>1074</v>
      </c>
      <c r="AC51" s="192" t="s">
        <v>1075</v>
      </c>
      <c r="AD51" s="176" t="s">
        <v>619</v>
      </c>
      <c r="AE51" s="209" t="e">
        <f>#REF!</f>
        <v>#REF!</v>
      </c>
      <c r="AF51" s="209" t="e">
        <f>#REF!</f>
        <v>#REF!</v>
      </c>
      <c r="AG51" s="209" t="e">
        <f>#REF!</f>
        <v>#REF!</v>
      </c>
      <c r="AH51" s="207">
        <f t="shared" si="3"/>
        <v>0</v>
      </c>
      <c r="AI51" s="209" t="e">
        <f>#REF!</f>
        <v>#REF!</v>
      </c>
      <c r="AJ51" s="209" t="e">
        <f>#REF!</f>
        <v>#REF!</v>
      </c>
      <c r="AK51" s="209" t="e">
        <f>#REF!</f>
        <v>#REF!</v>
      </c>
      <c r="AL51" s="207" t="e">
        <f t="shared" si="4"/>
        <v>#REF!</v>
      </c>
      <c r="AM51" s="208">
        <f t="shared" si="5"/>
        <v>0</v>
      </c>
      <c r="AN51" s="209" t="e">
        <f>#REF!*AN33</f>
        <v>#REF!</v>
      </c>
      <c r="AO51" s="209" t="e">
        <f t="shared" si="6"/>
        <v>#REF!</v>
      </c>
      <c r="AP51" s="209" t="e">
        <f t="shared" si="7"/>
        <v>#REF!</v>
      </c>
      <c r="AQ51" s="209" t="e">
        <f t="shared" si="8"/>
        <v>#REF!</v>
      </c>
    </row>
    <row r="52" spans="4:43" ht="41.25" customHeight="1">
      <c r="D52" s="1">
        <v>55</v>
      </c>
      <c r="AB52" s="176" t="s">
        <v>1076</v>
      </c>
      <c r="AC52" s="192" t="s">
        <v>972</v>
      </c>
      <c r="AD52" s="176" t="s">
        <v>619</v>
      </c>
      <c r="AE52" s="209" t="e">
        <f>#REF!</f>
        <v>#REF!</v>
      </c>
      <c r="AF52" s="209" t="e">
        <f>#REF!</f>
        <v>#REF!</v>
      </c>
      <c r="AG52" s="209" t="e">
        <f>#REF!</f>
        <v>#REF!</v>
      </c>
      <c r="AH52" s="207">
        <f t="shared" si="3"/>
        <v>0</v>
      </c>
      <c r="AI52" s="209" t="e">
        <f>#REF!</f>
        <v>#REF!</v>
      </c>
      <c r="AJ52" s="209" t="e">
        <f>#REF!</f>
        <v>#REF!</v>
      </c>
      <c r="AK52" s="209" t="e">
        <f>#REF!</f>
        <v>#REF!</v>
      </c>
      <c r="AL52" s="207" t="e">
        <f t="shared" si="4"/>
        <v>#REF!</v>
      </c>
      <c r="AM52" s="208">
        <f t="shared" si="5"/>
        <v>0</v>
      </c>
      <c r="AN52" s="209" t="e">
        <f>#REF!*AN33</f>
        <v>#REF!</v>
      </c>
      <c r="AO52" s="209" t="e">
        <f t="shared" si="6"/>
        <v>#REF!</v>
      </c>
      <c r="AP52" s="209" t="e">
        <f t="shared" si="7"/>
        <v>#REF!</v>
      </c>
      <c r="AQ52" s="209" t="e">
        <f t="shared" si="8"/>
        <v>#REF!</v>
      </c>
    </row>
    <row r="53" spans="4:43" ht="13.5" customHeight="1">
      <c r="D53" s="1">
        <v>18</v>
      </c>
      <c r="AB53" s="176" t="s">
        <v>1077</v>
      </c>
      <c r="AC53" s="192" t="s">
        <v>998</v>
      </c>
      <c r="AD53" s="176" t="s">
        <v>619</v>
      </c>
      <c r="AE53" s="209" t="e">
        <f>#REF!</f>
        <v>#REF!</v>
      </c>
      <c r="AF53" s="209" t="e">
        <f>#REF!</f>
        <v>#REF!</v>
      </c>
      <c r="AG53" s="209" t="e">
        <f>#REF!</f>
        <v>#REF!</v>
      </c>
      <c r="AH53" s="207">
        <f t="shared" si="3"/>
        <v>0</v>
      </c>
      <c r="AI53" s="209" t="e">
        <f>#REF!</f>
        <v>#REF!</v>
      </c>
      <c r="AJ53" s="209" t="e">
        <f>#REF!</f>
        <v>#REF!</v>
      </c>
      <c r="AK53" s="209" t="e">
        <f>#REF!</f>
        <v>#REF!</v>
      </c>
      <c r="AL53" s="207" t="e">
        <f t="shared" si="4"/>
        <v>#REF!</v>
      </c>
      <c r="AM53" s="208">
        <f t="shared" si="5"/>
        <v>0</v>
      </c>
      <c r="AN53" s="209" t="e">
        <f>#REF!*AN33</f>
        <v>#REF!</v>
      </c>
      <c r="AO53" s="209" t="e">
        <f t="shared" si="6"/>
        <v>#REF!</v>
      </c>
      <c r="AP53" s="209" t="e">
        <f t="shared" si="7"/>
        <v>#REF!</v>
      </c>
      <c r="AQ53" s="209" t="e">
        <f t="shared" si="8"/>
        <v>#REF!</v>
      </c>
    </row>
    <row r="54" spans="4:43" ht="13.5" customHeight="1">
      <c r="D54" s="1">
        <v>18</v>
      </c>
      <c r="AB54" s="176" t="s">
        <v>1078</v>
      </c>
      <c r="AC54" s="192" t="s">
        <v>575</v>
      </c>
      <c r="AD54" s="176" t="s">
        <v>619</v>
      </c>
      <c r="AE54" s="209" t="e">
        <f>#REF!</f>
        <v>#REF!</v>
      </c>
      <c r="AF54" s="209" t="e">
        <f>#REF!</f>
        <v>#REF!</v>
      </c>
      <c r="AG54" s="209" t="e">
        <f>#REF!</f>
        <v>#REF!</v>
      </c>
      <c r="AH54" s="207">
        <f t="shared" si="3"/>
        <v>0</v>
      </c>
      <c r="AI54" s="209" t="e">
        <f>#REF!</f>
        <v>#REF!</v>
      </c>
      <c r="AJ54" s="209" t="e">
        <f>#REF!</f>
        <v>#REF!</v>
      </c>
      <c r="AK54" s="209" t="e">
        <f>#REF!</f>
        <v>#REF!</v>
      </c>
      <c r="AL54" s="207" t="e">
        <f t="shared" si="4"/>
        <v>#REF!</v>
      </c>
      <c r="AM54" s="208">
        <f t="shared" si="5"/>
        <v>0</v>
      </c>
      <c r="AN54" s="209" t="e">
        <f>#REF!*AN33</f>
        <v>#REF!</v>
      </c>
      <c r="AO54" s="209" t="e">
        <f t="shared" si="6"/>
        <v>#REF!</v>
      </c>
      <c r="AP54" s="209" t="e">
        <f t="shared" si="7"/>
        <v>#REF!</v>
      </c>
      <c r="AQ54" s="209" t="e">
        <f t="shared" si="8"/>
        <v>#REF!</v>
      </c>
    </row>
    <row r="55" spans="4:43" ht="13.5" customHeight="1">
      <c r="D55" s="1">
        <v>18</v>
      </c>
      <c r="AB55" s="176" t="s">
        <v>1079</v>
      </c>
      <c r="AC55" s="192" t="s">
        <v>973</v>
      </c>
      <c r="AD55" s="176" t="s">
        <v>619</v>
      </c>
      <c r="AE55" s="209" t="e">
        <f>#REF!</f>
        <v>#REF!</v>
      </c>
      <c r="AF55" s="209" t="e">
        <f>#REF!</f>
        <v>#REF!</v>
      </c>
      <c r="AG55" s="209" t="e">
        <f>#REF!</f>
        <v>#REF!</v>
      </c>
      <c r="AH55" s="207">
        <f t="shared" si="3"/>
        <v>0</v>
      </c>
      <c r="AI55" s="209" t="e">
        <f>#REF!</f>
        <v>#REF!</v>
      </c>
      <c r="AJ55" s="209" t="e">
        <f>#REF!</f>
        <v>#REF!</v>
      </c>
      <c r="AK55" s="209" t="e">
        <f>#REF!</f>
        <v>#REF!</v>
      </c>
      <c r="AL55" s="207" t="e">
        <f t="shared" si="4"/>
        <v>#REF!</v>
      </c>
      <c r="AM55" s="208">
        <f t="shared" si="5"/>
        <v>0</v>
      </c>
      <c r="AN55" s="209" t="e">
        <f>#REF!*AN33</f>
        <v>#REF!</v>
      </c>
      <c r="AO55" s="209" t="e">
        <f t="shared" si="6"/>
        <v>#REF!</v>
      </c>
      <c r="AP55" s="209" t="e">
        <f t="shared" si="7"/>
        <v>#REF!</v>
      </c>
      <c r="AQ55" s="209" t="e">
        <f t="shared" si="8"/>
        <v>#REF!</v>
      </c>
    </row>
    <row r="56" spans="4:43" ht="13.5" customHeight="1">
      <c r="D56" s="1">
        <v>18</v>
      </c>
      <c r="AB56" s="176" t="s">
        <v>1080</v>
      </c>
      <c r="AC56" s="192" t="s">
        <v>975</v>
      </c>
      <c r="AD56" s="176" t="s">
        <v>619</v>
      </c>
      <c r="AE56" s="209" t="e">
        <f>#REF!</f>
        <v>#REF!</v>
      </c>
      <c r="AF56" s="209" t="e">
        <f>#REF!</f>
        <v>#REF!</v>
      </c>
      <c r="AG56" s="209" t="e">
        <f>#REF!</f>
        <v>#REF!</v>
      </c>
      <c r="AH56" s="207">
        <f t="shared" si="3"/>
        <v>0</v>
      </c>
      <c r="AI56" s="209" t="e">
        <f>#REF!</f>
        <v>#REF!</v>
      </c>
      <c r="AJ56" s="209" t="e">
        <f>#REF!</f>
        <v>#REF!</v>
      </c>
      <c r="AK56" s="209" t="e">
        <f>#REF!</f>
        <v>#REF!</v>
      </c>
      <c r="AL56" s="207" t="e">
        <f t="shared" si="4"/>
        <v>#REF!</v>
      </c>
      <c r="AM56" s="208">
        <f t="shared" si="5"/>
        <v>0</v>
      </c>
      <c r="AN56" s="209" t="e">
        <f>#REF!*AN33</f>
        <v>#REF!</v>
      </c>
      <c r="AO56" s="209" t="e">
        <f t="shared" si="6"/>
        <v>#REF!</v>
      </c>
      <c r="AP56" s="209" t="e">
        <f t="shared" si="7"/>
        <v>#REF!</v>
      </c>
      <c r="AQ56" s="209" t="e">
        <f t="shared" si="8"/>
        <v>#REF!</v>
      </c>
    </row>
    <row r="57" spans="4:43" ht="13.5" customHeight="1">
      <c r="D57" s="1">
        <v>18</v>
      </c>
      <c r="AB57" s="176" t="s">
        <v>1081</v>
      </c>
      <c r="AC57" s="192" t="s">
        <v>1082</v>
      </c>
      <c r="AD57" s="176" t="s">
        <v>619</v>
      </c>
      <c r="AE57" s="209" t="e">
        <f>#REF!</f>
        <v>#REF!</v>
      </c>
      <c r="AF57" s="209" t="e">
        <f>#REF!</f>
        <v>#REF!</v>
      </c>
      <c r="AG57" s="209" t="e">
        <f>#REF!</f>
        <v>#REF!</v>
      </c>
      <c r="AH57" s="207">
        <f t="shared" si="3"/>
        <v>0</v>
      </c>
      <c r="AI57" s="209" t="e">
        <f>#REF!</f>
        <v>#REF!</v>
      </c>
      <c r="AJ57" s="209" t="e">
        <f>#REF!</f>
        <v>#REF!</v>
      </c>
      <c r="AK57" s="209" t="e">
        <f>#REF!</f>
        <v>#REF!</v>
      </c>
      <c r="AL57" s="207" t="e">
        <f t="shared" si="4"/>
        <v>#REF!</v>
      </c>
      <c r="AM57" s="208">
        <f t="shared" si="5"/>
        <v>0</v>
      </c>
      <c r="AN57" s="209" t="e">
        <f>#REF!*AN33</f>
        <v>#REF!</v>
      </c>
      <c r="AO57" s="209" t="e">
        <f t="shared" si="6"/>
        <v>#REF!</v>
      </c>
      <c r="AP57" s="209" t="e">
        <f t="shared" si="7"/>
        <v>#REF!</v>
      </c>
      <c r="AQ57" s="209" t="e">
        <f t="shared" si="8"/>
        <v>#REF!</v>
      </c>
    </row>
    <row r="58" spans="4:43" ht="13.5" customHeight="1">
      <c r="D58" s="1">
        <v>18</v>
      </c>
      <c r="AB58" s="858" t="s">
        <v>1083</v>
      </c>
      <c r="AC58" s="858"/>
      <c r="AD58" s="206" t="s">
        <v>619</v>
      </c>
      <c r="AE58" s="211" t="e">
        <f>SUM(AE35,AE38,AE41,AE57)</f>
        <v>#REF!</v>
      </c>
      <c r="AF58" s="211" t="e">
        <f>SUM(AF35,AF38,AF41,AF57)</f>
        <v>#REF!</v>
      </c>
      <c r="AG58" s="211" t="e">
        <f>SUM(AG35,AG38,AG41,AG57)</f>
        <v>#REF!</v>
      </c>
      <c r="AH58" s="211">
        <f t="shared" si="3"/>
        <v>0</v>
      </c>
      <c r="AI58" s="211" t="e">
        <f>SUM(AI35,AI38,AI41,AI57)</f>
        <v>#REF!</v>
      </c>
      <c r="AJ58" s="211" t="e">
        <f>SUM(AJ35,AJ38,AJ41,AJ57)</f>
        <v>#REF!</v>
      </c>
      <c r="AK58" s="211" t="e">
        <f>SUM(AK35,AK38,AK41,AK57)</f>
        <v>#REF!</v>
      </c>
      <c r="AL58" s="211" t="e">
        <f t="shared" si="4"/>
        <v>#REF!</v>
      </c>
      <c r="AM58" s="212">
        <f t="shared" si="5"/>
        <v>0</v>
      </c>
      <c r="AN58" s="211" t="e">
        <f>SUM(AN35,AN38,AN41,AN57)</f>
        <v>#REF!</v>
      </c>
      <c r="AO58" s="211" t="e">
        <f>SUM(AO35,AO38,AO41,AO57)</f>
        <v>#REF!</v>
      </c>
      <c r="AP58" s="211" t="e">
        <f>SUM(AP35,AP38,AP41,AP57)</f>
        <v>#REF!</v>
      </c>
      <c r="AQ58" s="211" t="e">
        <f>SUM(AQ35,AQ38,AQ41,AQ57)</f>
        <v>#REF!</v>
      </c>
    </row>
    <row r="59" spans="4:43" ht="13.5" customHeight="1">
      <c r="D59" s="1">
        <v>18</v>
      </c>
      <c r="AB59" s="206" t="s">
        <v>1084</v>
      </c>
      <c r="AC59" s="213" t="s">
        <v>1085</v>
      </c>
      <c r="AD59" s="198"/>
      <c r="AE59" s="198"/>
      <c r="AF59" s="198"/>
      <c r="AG59" s="198"/>
      <c r="AH59" s="198"/>
      <c r="AI59" s="198"/>
      <c r="AJ59" s="198"/>
      <c r="AK59" s="198"/>
      <c r="AL59" s="198"/>
      <c r="AM59" s="198"/>
      <c r="AN59" s="198"/>
      <c r="AO59" s="198"/>
      <c r="AP59" s="198"/>
      <c r="AQ59" s="199"/>
    </row>
    <row r="60" spans="4:43" ht="13.5" customHeight="1">
      <c r="D60" s="1">
        <v>18</v>
      </c>
      <c r="AB60" s="176" t="s">
        <v>1086</v>
      </c>
      <c r="AC60" s="192" t="s">
        <v>1087</v>
      </c>
      <c r="AD60" s="176" t="s">
        <v>619</v>
      </c>
      <c r="AE60" s="209" t="e">
        <f>#REF!</f>
        <v>#REF!</v>
      </c>
      <c r="AF60" s="209" t="e">
        <f>#REF!</f>
        <v>#REF!</v>
      </c>
      <c r="AG60" s="209" t="e">
        <f>#REF!</f>
        <v>#REF!</v>
      </c>
      <c r="AH60" s="207">
        <f t="shared" ref="AH60:AH89" si="9">IFERROR(AF60-AE60,0)</f>
        <v>0</v>
      </c>
      <c r="AI60" s="209" t="e">
        <f>#REF!</f>
        <v>#REF!</v>
      </c>
      <c r="AJ60" s="209" t="e">
        <f>#REF!</f>
        <v>#REF!</v>
      </c>
      <c r="AK60" s="209" t="e">
        <f>#REF!</f>
        <v>#REF!</v>
      </c>
      <c r="AL60" s="207" t="e">
        <f t="shared" ref="AL60:AL90" si="10">AK60-AJ60</f>
        <v>#REF!</v>
      </c>
      <c r="AM60" s="208">
        <f t="shared" ref="AM60:AM93" si="11">IFERROR(AK60/AI60-1,0)</f>
        <v>0</v>
      </c>
      <c r="AN60" s="209" t="e">
        <f>#REF!</f>
        <v>#REF!</v>
      </c>
      <c r="AO60" s="209" t="e">
        <f>#REF!</f>
        <v>#REF!</v>
      </c>
      <c r="AP60" s="209" t="e">
        <f>#REF!</f>
        <v>#REF!</v>
      </c>
      <c r="AQ60" s="209" t="e">
        <f>#REF!</f>
        <v>#REF!</v>
      </c>
    </row>
    <row r="61" spans="4:43" ht="13.5" customHeight="1">
      <c r="D61" s="1">
        <v>18</v>
      </c>
      <c r="AB61" s="176" t="s">
        <v>1088</v>
      </c>
      <c r="AC61" s="175" t="s">
        <v>998</v>
      </c>
      <c r="AD61" s="176" t="s">
        <v>619</v>
      </c>
      <c r="AE61" s="209" t="e">
        <f>#REF!</f>
        <v>#REF!</v>
      </c>
      <c r="AF61" s="209" t="e">
        <f>#REF!</f>
        <v>#REF!</v>
      </c>
      <c r="AG61" s="209" t="e">
        <f>#REF!</f>
        <v>#REF!</v>
      </c>
      <c r="AH61" s="207">
        <f t="shared" si="9"/>
        <v>0</v>
      </c>
      <c r="AI61" s="209" t="e">
        <f>#REF!</f>
        <v>#REF!</v>
      </c>
      <c r="AJ61" s="209" t="e">
        <f>#REF!</f>
        <v>#REF!</v>
      </c>
      <c r="AK61" s="209" t="e">
        <f>#REF!</f>
        <v>#REF!</v>
      </c>
      <c r="AL61" s="207" t="e">
        <f t="shared" si="10"/>
        <v>#REF!</v>
      </c>
      <c r="AM61" s="208">
        <f t="shared" si="11"/>
        <v>0</v>
      </c>
      <c r="AN61" s="209" t="e">
        <f>#REF!</f>
        <v>#REF!</v>
      </c>
      <c r="AO61" s="209" t="e">
        <f>#REF!</f>
        <v>#REF!</v>
      </c>
      <c r="AP61" s="209" t="e">
        <f>#REF!</f>
        <v>#REF!</v>
      </c>
      <c r="AQ61" s="209" t="e">
        <f>#REF!</f>
        <v>#REF!</v>
      </c>
    </row>
    <row r="62" spans="4:43" ht="13.5" customHeight="1">
      <c r="D62" s="1">
        <v>18</v>
      </c>
      <c r="AB62" s="176" t="s">
        <v>1089</v>
      </c>
      <c r="AC62" s="175" t="s">
        <v>575</v>
      </c>
      <c r="AD62" s="176" t="s">
        <v>619</v>
      </c>
      <c r="AE62" s="209" t="e">
        <f>#REF!</f>
        <v>#REF!</v>
      </c>
      <c r="AF62" s="209" t="e">
        <f>#REF!</f>
        <v>#REF!</v>
      </c>
      <c r="AG62" s="209" t="e">
        <f>#REF!</f>
        <v>#REF!</v>
      </c>
      <c r="AH62" s="207">
        <f t="shared" si="9"/>
        <v>0</v>
      </c>
      <c r="AI62" s="209" t="e">
        <f>#REF!</f>
        <v>#REF!</v>
      </c>
      <c r="AJ62" s="209" t="e">
        <f>#REF!</f>
        <v>#REF!</v>
      </c>
      <c r="AK62" s="209" t="e">
        <f>#REF!</f>
        <v>#REF!</v>
      </c>
      <c r="AL62" s="207" t="e">
        <f t="shared" si="10"/>
        <v>#REF!</v>
      </c>
      <c r="AM62" s="208">
        <f t="shared" si="11"/>
        <v>0</v>
      </c>
      <c r="AN62" s="209" t="e">
        <f>#REF!</f>
        <v>#REF!</v>
      </c>
      <c r="AO62" s="209" t="e">
        <f>#REF!</f>
        <v>#REF!</v>
      </c>
      <c r="AP62" s="209" t="e">
        <f>#REF!</f>
        <v>#REF!</v>
      </c>
      <c r="AQ62" s="209" t="e">
        <f>#REF!</f>
        <v>#REF!</v>
      </c>
    </row>
    <row r="63" spans="4:43" ht="13.5" customHeight="1">
      <c r="D63" s="1">
        <v>18</v>
      </c>
      <c r="AB63" s="176" t="s">
        <v>1090</v>
      </c>
      <c r="AC63" s="192" t="s">
        <v>1091</v>
      </c>
      <c r="AD63" s="176" t="s">
        <v>619</v>
      </c>
      <c r="AE63" s="209" t="e">
        <f>#REF!+#REF!</f>
        <v>#REF!</v>
      </c>
      <c r="AF63" s="209" t="e">
        <f>#REF!+#REF!</f>
        <v>#REF!</v>
      </c>
      <c r="AG63" s="209" t="e">
        <f>#REF!+#REF!</f>
        <v>#REF!</v>
      </c>
      <c r="AH63" s="207">
        <f t="shared" si="9"/>
        <v>0</v>
      </c>
      <c r="AI63" s="209" t="e">
        <f>#REF!+#REF!</f>
        <v>#REF!</v>
      </c>
      <c r="AJ63" s="209" t="e">
        <f>#REF!+#REF!</f>
        <v>#REF!</v>
      </c>
      <c r="AK63" s="209" t="e">
        <f>#REF!+#REF!</f>
        <v>#REF!</v>
      </c>
      <c r="AL63" s="207" t="e">
        <f t="shared" si="10"/>
        <v>#REF!</v>
      </c>
      <c r="AM63" s="208">
        <f t="shared" si="11"/>
        <v>0</v>
      </c>
      <c r="AN63" s="209" t="e">
        <f>#REF!+#REF!</f>
        <v>#REF!</v>
      </c>
      <c r="AO63" s="209" t="e">
        <f>#REF!+#REF!</f>
        <v>#REF!</v>
      </c>
      <c r="AP63" s="209" t="e">
        <f>#REF!+#REF!</f>
        <v>#REF!</v>
      </c>
      <c r="AQ63" s="209" t="e">
        <f>#REF!+#REF!</f>
        <v>#REF!</v>
      </c>
    </row>
    <row r="64" spans="4:43" ht="13.5" customHeight="1">
      <c r="D64" s="1">
        <v>18</v>
      </c>
      <c r="AB64" s="176" t="s">
        <v>1092</v>
      </c>
      <c r="AC64" s="192" t="s">
        <v>1093</v>
      </c>
      <c r="AD64" s="176" t="s">
        <v>619</v>
      </c>
      <c r="AE64" s="207" t="e">
        <f>SUM(AE65:AE66,AE72)</f>
        <v>#REF!</v>
      </c>
      <c r="AF64" s="207" t="e">
        <f>SUM(AF65:AF66,AF72)</f>
        <v>#REF!</v>
      </c>
      <c r="AG64" s="207" t="e">
        <f>SUM(AG65:AG66,AG72)</f>
        <v>#REF!</v>
      </c>
      <c r="AH64" s="207">
        <f t="shared" si="9"/>
        <v>0</v>
      </c>
      <c r="AI64" s="207" t="e">
        <f>SUM(AI65:AI66,AI72)</f>
        <v>#REF!</v>
      </c>
      <c r="AJ64" s="207" t="e">
        <f>SUM(AJ65:AJ66,AJ72)</f>
        <v>#REF!</v>
      </c>
      <c r="AK64" s="207" t="e">
        <f>SUM(AK65:AK66,AK72)</f>
        <v>#REF!</v>
      </c>
      <c r="AL64" s="207" t="e">
        <f t="shared" si="10"/>
        <v>#REF!</v>
      </c>
      <c r="AM64" s="208">
        <f t="shared" si="11"/>
        <v>0</v>
      </c>
      <c r="AN64" s="207" t="e">
        <f>SUM(AN65:AN66,AN72)</f>
        <v>#REF!</v>
      </c>
      <c r="AO64" s="207" t="e">
        <f>SUM(AO65:AO66,AO72)</f>
        <v>#REF!</v>
      </c>
      <c r="AP64" s="207" t="e">
        <f>SUM(AP65:AP66,AP72)</f>
        <v>#REF!</v>
      </c>
      <c r="AQ64" s="207" t="e">
        <f>SUM(AQ65:AQ66,AQ72)</f>
        <v>#REF!</v>
      </c>
    </row>
    <row r="65" spans="4:43" ht="13.5" customHeight="1">
      <c r="D65" s="1">
        <v>18</v>
      </c>
      <c r="AB65" s="176" t="s">
        <v>1094</v>
      </c>
      <c r="AC65" s="192" t="s">
        <v>1095</v>
      </c>
      <c r="AD65" s="176" t="s">
        <v>619</v>
      </c>
      <c r="AE65" s="209" t="e">
        <f>#REF!</f>
        <v>#REF!</v>
      </c>
      <c r="AF65" s="209" t="e">
        <f>#REF!</f>
        <v>#REF!</v>
      </c>
      <c r="AG65" s="209" t="e">
        <f>#REF!</f>
        <v>#REF!</v>
      </c>
      <c r="AH65" s="207">
        <f t="shared" si="9"/>
        <v>0</v>
      </c>
      <c r="AI65" s="209" t="e">
        <f>#REF!</f>
        <v>#REF!</v>
      </c>
      <c r="AJ65" s="209" t="e">
        <f>#REF!</f>
        <v>#REF!</v>
      </c>
      <c r="AK65" s="209" t="e">
        <f>#REF!</f>
        <v>#REF!</v>
      </c>
      <c r="AL65" s="207" t="e">
        <f t="shared" si="10"/>
        <v>#REF!</v>
      </c>
      <c r="AM65" s="208">
        <f t="shared" si="11"/>
        <v>0</v>
      </c>
      <c r="AN65" s="209" t="e">
        <f>#REF!</f>
        <v>#REF!</v>
      </c>
      <c r="AO65" s="209" t="e">
        <f>#REF!</f>
        <v>#REF!</v>
      </c>
      <c r="AP65" s="209" t="e">
        <f>#REF!</f>
        <v>#REF!</v>
      </c>
      <c r="AQ65" s="209" t="e">
        <f>#REF!</f>
        <v>#REF!</v>
      </c>
    </row>
    <row r="66" spans="4:43" ht="13.5" customHeight="1">
      <c r="D66" s="1">
        <v>18</v>
      </c>
      <c r="AB66" s="176" t="s">
        <v>1096</v>
      </c>
      <c r="AC66" s="192" t="s">
        <v>480</v>
      </c>
      <c r="AD66" s="176" t="s">
        <v>619</v>
      </c>
      <c r="AE66" s="209" t="e">
        <f>#REF!</f>
        <v>#REF!</v>
      </c>
      <c r="AF66" s="209" t="e">
        <f>#REF!</f>
        <v>#REF!</v>
      </c>
      <c r="AG66" s="209" t="e">
        <f>#REF!</f>
        <v>#REF!</v>
      </c>
      <c r="AH66" s="207">
        <f t="shared" si="9"/>
        <v>0</v>
      </c>
      <c r="AI66" s="209" t="e">
        <f>#REF!</f>
        <v>#REF!</v>
      </c>
      <c r="AJ66" s="209" t="e">
        <f>#REF!</f>
        <v>#REF!</v>
      </c>
      <c r="AK66" s="209" t="e">
        <f>#REF!</f>
        <v>#REF!</v>
      </c>
      <c r="AL66" s="207" t="e">
        <f t="shared" si="10"/>
        <v>#REF!</v>
      </c>
      <c r="AM66" s="208">
        <f t="shared" si="11"/>
        <v>0</v>
      </c>
      <c r="AN66" s="209" t="e">
        <f>#REF!</f>
        <v>#REF!</v>
      </c>
      <c r="AO66" s="209" t="e">
        <f>#REF!</f>
        <v>#REF!</v>
      </c>
      <c r="AP66" s="209" t="e">
        <f>#REF!</f>
        <v>#REF!</v>
      </c>
      <c r="AQ66" s="209" t="e">
        <f>#REF!</f>
        <v>#REF!</v>
      </c>
    </row>
    <row r="67" spans="4:43" ht="13.5" customHeight="1">
      <c r="D67" s="1">
        <v>18</v>
      </c>
      <c r="AB67" s="176" t="s">
        <v>1097</v>
      </c>
      <c r="AC67" s="210" t="s">
        <v>175</v>
      </c>
      <c r="AD67" s="176" t="s">
        <v>619</v>
      </c>
      <c r="AE67" s="209"/>
      <c r="AF67" s="209"/>
      <c r="AG67" s="209"/>
      <c r="AH67" s="207">
        <f t="shared" si="9"/>
        <v>0</v>
      </c>
      <c r="AI67" s="209"/>
      <c r="AJ67" s="209"/>
      <c r="AK67" s="209"/>
      <c r="AL67" s="207">
        <f t="shared" si="10"/>
        <v>0</v>
      </c>
      <c r="AM67" s="208">
        <f t="shared" si="11"/>
        <v>0</v>
      </c>
      <c r="AN67" s="209"/>
      <c r="AO67" s="209"/>
      <c r="AP67" s="209"/>
      <c r="AQ67" s="209"/>
    </row>
    <row r="68" spans="4:43" ht="13.5" customHeight="1">
      <c r="D68" s="1">
        <v>18</v>
      </c>
      <c r="AB68" s="176" t="s">
        <v>1098</v>
      </c>
      <c r="AC68" s="210" t="s">
        <v>183</v>
      </c>
      <c r="AD68" s="176" t="s">
        <v>619</v>
      </c>
      <c r="AE68" s="209"/>
      <c r="AF68" s="209"/>
      <c r="AG68" s="209"/>
      <c r="AH68" s="207">
        <f t="shared" si="9"/>
        <v>0</v>
      </c>
      <c r="AI68" s="209"/>
      <c r="AJ68" s="209"/>
      <c r="AK68" s="209"/>
      <c r="AL68" s="207">
        <f t="shared" si="10"/>
        <v>0</v>
      </c>
      <c r="AM68" s="208">
        <f t="shared" si="11"/>
        <v>0</v>
      </c>
      <c r="AN68" s="209"/>
      <c r="AO68" s="209"/>
      <c r="AP68" s="209"/>
      <c r="AQ68" s="209"/>
    </row>
    <row r="69" spans="4:43" ht="13.5" customHeight="1">
      <c r="D69" s="1">
        <v>18</v>
      </c>
      <c r="AB69" s="176" t="s">
        <v>1099</v>
      </c>
      <c r="AC69" s="210" t="s">
        <v>188</v>
      </c>
      <c r="AD69" s="176" t="s">
        <v>619</v>
      </c>
      <c r="AE69" s="209"/>
      <c r="AF69" s="209"/>
      <c r="AG69" s="209"/>
      <c r="AH69" s="207">
        <f t="shared" si="9"/>
        <v>0</v>
      </c>
      <c r="AI69" s="209"/>
      <c r="AJ69" s="209"/>
      <c r="AK69" s="209"/>
      <c r="AL69" s="207">
        <f t="shared" si="10"/>
        <v>0</v>
      </c>
      <c r="AM69" s="208">
        <f t="shared" si="11"/>
        <v>0</v>
      </c>
      <c r="AN69" s="209"/>
      <c r="AO69" s="209"/>
      <c r="AP69" s="209"/>
      <c r="AQ69" s="209"/>
    </row>
    <row r="70" spans="4:43" ht="13.5" customHeight="1">
      <c r="D70" s="1">
        <v>18</v>
      </c>
      <c r="AB70" s="176" t="s">
        <v>1100</v>
      </c>
      <c r="AC70" s="210" t="s">
        <v>194</v>
      </c>
      <c r="AD70" s="176" t="s">
        <v>619</v>
      </c>
      <c r="AE70" s="209"/>
      <c r="AF70" s="209"/>
      <c r="AG70" s="209"/>
      <c r="AH70" s="207">
        <f t="shared" si="9"/>
        <v>0</v>
      </c>
      <c r="AI70" s="209"/>
      <c r="AJ70" s="209"/>
      <c r="AK70" s="209"/>
      <c r="AL70" s="207">
        <f t="shared" si="10"/>
        <v>0</v>
      </c>
      <c r="AM70" s="208">
        <f t="shared" si="11"/>
        <v>0</v>
      </c>
      <c r="AN70" s="209"/>
      <c r="AO70" s="209"/>
      <c r="AP70" s="209"/>
      <c r="AQ70" s="209"/>
    </row>
    <row r="71" spans="4:43" ht="13.5" customHeight="1">
      <c r="D71" s="1">
        <v>18</v>
      </c>
      <c r="AB71" s="176" t="s">
        <v>1101</v>
      </c>
      <c r="AC71" s="210" t="s">
        <v>189</v>
      </c>
      <c r="AD71" s="176" t="s">
        <v>619</v>
      </c>
      <c r="AE71" s="209"/>
      <c r="AF71" s="209"/>
      <c r="AG71" s="209"/>
      <c r="AH71" s="207">
        <f t="shared" si="9"/>
        <v>0</v>
      </c>
      <c r="AI71" s="209"/>
      <c r="AJ71" s="209"/>
      <c r="AK71" s="209"/>
      <c r="AL71" s="207">
        <f t="shared" si="10"/>
        <v>0</v>
      </c>
      <c r="AM71" s="208">
        <f t="shared" si="11"/>
        <v>0</v>
      </c>
      <c r="AN71" s="209"/>
      <c r="AO71" s="209"/>
      <c r="AP71" s="209"/>
      <c r="AQ71" s="209"/>
    </row>
    <row r="72" spans="4:43" ht="13.5" customHeight="1">
      <c r="D72" s="1">
        <v>18</v>
      </c>
      <c r="AB72" s="176" t="s">
        <v>1102</v>
      </c>
      <c r="AC72" s="192" t="s">
        <v>1103</v>
      </c>
      <c r="AD72" s="176" t="s">
        <v>619</v>
      </c>
      <c r="AE72" s="209" t="e">
        <f>#REF!+#REF!</f>
        <v>#REF!</v>
      </c>
      <c r="AF72" s="209" t="e">
        <f>#REF!+#REF!</f>
        <v>#REF!</v>
      </c>
      <c r="AG72" s="209" t="e">
        <f>#REF!+#REF!</f>
        <v>#REF!</v>
      </c>
      <c r="AH72" s="207">
        <f t="shared" si="9"/>
        <v>0</v>
      </c>
      <c r="AI72" s="209" t="e">
        <f>#REF!+#REF!</f>
        <v>#REF!</v>
      </c>
      <c r="AJ72" s="209" t="e">
        <f>#REF!+#REF!</f>
        <v>#REF!</v>
      </c>
      <c r="AK72" s="209" t="e">
        <f>#REF!+#REF!</f>
        <v>#REF!</v>
      </c>
      <c r="AL72" s="207" t="e">
        <f t="shared" si="10"/>
        <v>#REF!</v>
      </c>
      <c r="AM72" s="208">
        <f t="shared" si="11"/>
        <v>0</v>
      </c>
      <c r="AN72" s="209" t="e">
        <f>#REF!+#REF!</f>
        <v>#REF!</v>
      </c>
      <c r="AO72" s="209" t="e">
        <f>#REF!+#REF!</f>
        <v>#REF!</v>
      </c>
      <c r="AP72" s="209" t="e">
        <f>#REF!+#REF!</f>
        <v>#REF!</v>
      </c>
      <c r="AQ72" s="209" t="e">
        <f>#REF!+#REF!</f>
        <v>#REF!</v>
      </c>
    </row>
    <row r="73" spans="4:43" ht="13.5" customHeight="1">
      <c r="D73" s="1">
        <v>18</v>
      </c>
      <c r="AB73" s="176" t="s">
        <v>1104</v>
      </c>
      <c r="AC73" s="192" t="s">
        <v>1105</v>
      </c>
      <c r="AD73" s="176" t="s">
        <v>619</v>
      </c>
      <c r="AE73" s="209" t="e">
        <f>#REF!</f>
        <v>#REF!</v>
      </c>
      <c r="AF73" s="209" t="e">
        <f>#REF!</f>
        <v>#REF!</v>
      </c>
      <c r="AG73" s="209" t="e">
        <f>#REF!</f>
        <v>#REF!</v>
      </c>
      <c r="AH73" s="207">
        <f t="shared" si="9"/>
        <v>0</v>
      </c>
      <c r="AI73" s="209" t="e">
        <f>#REF!</f>
        <v>#REF!</v>
      </c>
      <c r="AJ73" s="209" t="e">
        <f>#REF!</f>
        <v>#REF!</v>
      </c>
      <c r="AK73" s="209" t="e">
        <f>#REF!</f>
        <v>#REF!</v>
      </c>
      <c r="AL73" s="207" t="e">
        <f t="shared" si="10"/>
        <v>#REF!</v>
      </c>
      <c r="AM73" s="208">
        <f t="shared" si="11"/>
        <v>0</v>
      </c>
      <c r="AN73" s="209" t="e">
        <f>#REF!</f>
        <v>#REF!</v>
      </c>
      <c r="AO73" s="209" t="e">
        <f>#REF!</f>
        <v>#REF!</v>
      </c>
      <c r="AP73" s="209" t="e">
        <f>#REF!</f>
        <v>#REF!</v>
      </c>
      <c r="AQ73" s="209" t="e">
        <f>#REF!</f>
        <v>#REF!</v>
      </c>
    </row>
    <row r="74" spans="4:43" ht="27" customHeight="1">
      <c r="D74" s="1">
        <v>36</v>
      </c>
      <c r="AB74" s="176" t="s">
        <v>1106</v>
      </c>
      <c r="AC74" s="192" t="s">
        <v>1107</v>
      </c>
      <c r="AD74" s="176" t="s">
        <v>619</v>
      </c>
      <c r="AE74" s="209" t="e">
        <f>#REF!+#REF!+#REF!</f>
        <v>#REF!</v>
      </c>
      <c r="AF74" s="209" t="e">
        <f>#REF!+#REF!+#REF!</f>
        <v>#REF!</v>
      </c>
      <c r="AG74" s="209" t="e">
        <f>#REF!+#REF!+#REF!</f>
        <v>#REF!</v>
      </c>
      <c r="AH74" s="207">
        <f t="shared" si="9"/>
        <v>0</v>
      </c>
      <c r="AI74" s="209" t="e">
        <f>#REF!+#REF!+#REF!</f>
        <v>#REF!</v>
      </c>
      <c r="AJ74" s="209" t="e">
        <f>#REF!+#REF!+#REF!</f>
        <v>#REF!</v>
      </c>
      <c r="AK74" s="209" t="e">
        <f>#REF!+#REF!+#REF!</f>
        <v>#REF!</v>
      </c>
      <c r="AL74" s="207" t="e">
        <f t="shared" si="10"/>
        <v>#REF!</v>
      </c>
      <c r="AM74" s="208">
        <f t="shared" si="11"/>
        <v>0</v>
      </c>
      <c r="AN74" s="209" t="e">
        <f>#REF!+#REF!+#REF!</f>
        <v>#REF!</v>
      </c>
      <c r="AO74" s="209" t="e">
        <f>#REF!+#REF!+#REF!</f>
        <v>#REF!</v>
      </c>
      <c r="AP74" s="209" t="e">
        <f>#REF!+#REF!+#REF!</f>
        <v>#REF!</v>
      </c>
      <c r="AQ74" s="209" t="e">
        <f>#REF!+#REF!+#REF!</f>
        <v>#REF!</v>
      </c>
    </row>
    <row r="75" spans="4:43" ht="13.5" customHeight="1">
      <c r="D75" s="1">
        <v>18</v>
      </c>
      <c r="AB75" s="176" t="s">
        <v>1108</v>
      </c>
      <c r="AC75" s="192" t="s">
        <v>1006</v>
      </c>
      <c r="AD75" s="176"/>
      <c r="AE75" s="209" t="e">
        <f>#REF!</f>
        <v>#REF!</v>
      </c>
      <c r="AF75" s="209" t="e">
        <f>#REF!</f>
        <v>#REF!</v>
      </c>
      <c r="AG75" s="209" t="e">
        <f>#REF!</f>
        <v>#REF!</v>
      </c>
      <c r="AH75" s="207">
        <f t="shared" si="9"/>
        <v>0</v>
      </c>
      <c r="AI75" s="209" t="e">
        <f>#REF!</f>
        <v>#REF!</v>
      </c>
      <c r="AJ75" s="209" t="e">
        <f>#REF!</f>
        <v>#REF!</v>
      </c>
      <c r="AK75" s="209" t="e">
        <f>#REF!</f>
        <v>#REF!</v>
      </c>
      <c r="AL75" s="207" t="e">
        <f t="shared" si="10"/>
        <v>#REF!</v>
      </c>
      <c r="AM75" s="208">
        <f t="shared" si="11"/>
        <v>0</v>
      </c>
      <c r="AN75" s="209" t="e">
        <f>#REF!</f>
        <v>#REF!</v>
      </c>
      <c r="AO75" s="209" t="e">
        <f>#REF!</f>
        <v>#REF!</v>
      </c>
      <c r="AP75" s="209" t="e">
        <f>#REF!</f>
        <v>#REF!</v>
      </c>
      <c r="AQ75" s="209" t="e">
        <f>#REF!</f>
        <v>#REF!</v>
      </c>
    </row>
    <row r="76" spans="4:43" ht="13.5" customHeight="1">
      <c r="D76" s="1">
        <v>18</v>
      </c>
      <c r="AB76" s="176" t="s">
        <v>1109</v>
      </c>
      <c r="AC76" s="192" t="s">
        <v>482</v>
      </c>
      <c r="AD76" s="176" t="s">
        <v>619</v>
      </c>
      <c r="AE76" s="209" t="e">
        <f>#REF!</f>
        <v>#REF!</v>
      </c>
      <c r="AF76" s="209" t="e">
        <f>#REF!</f>
        <v>#REF!</v>
      </c>
      <c r="AG76" s="209" t="e">
        <f>#REF!</f>
        <v>#REF!</v>
      </c>
      <c r="AH76" s="207">
        <f t="shared" si="9"/>
        <v>0</v>
      </c>
      <c r="AI76" s="209" t="e">
        <f>#REF!</f>
        <v>#REF!</v>
      </c>
      <c r="AJ76" s="209" t="e">
        <f>#REF!</f>
        <v>#REF!</v>
      </c>
      <c r="AK76" s="209" t="e">
        <f>#REF!</f>
        <v>#REF!</v>
      </c>
      <c r="AL76" s="207" t="e">
        <f t="shared" si="10"/>
        <v>#REF!</v>
      </c>
      <c r="AM76" s="208">
        <f t="shared" si="11"/>
        <v>0</v>
      </c>
      <c r="AN76" s="209" t="e">
        <f>#REF!</f>
        <v>#REF!</v>
      </c>
      <c r="AO76" s="209" t="e">
        <f>#REF!</f>
        <v>#REF!</v>
      </c>
      <c r="AP76" s="209" t="e">
        <f>#REF!</f>
        <v>#REF!</v>
      </c>
      <c r="AQ76" s="209" t="e">
        <f>#REF!</f>
        <v>#REF!</v>
      </c>
    </row>
    <row r="77" spans="4:43" ht="27" customHeight="1">
      <c r="D77" s="1">
        <v>36</v>
      </c>
      <c r="AB77" s="176" t="s">
        <v>1110</v>
      </c>
      <c r="AC77" s="192" t="s">
        <v>1111</v>
      </c>
      <c r="AD77" s="176" t="s">
        <v>619</v>
      </c>
      <c r="AE77" s="209" t="e">
        <f>#REF!</f>
        <v>#REF!</v>
      </c>
      <c r="AF77" s="209" t="e">
        <f>#REF!</f>
        <v>#REF!</v>
      </c>
      <c r="AG77" s="209" t="e">
        <f>#REF!</f>
        <v>#REF!</v>
      </c>
      <c r="AH77" s="207">
        <f t="shared" si="9"/>
        <v>0</v>
      </c>
      <c r="AI77" s="209" t="e">
        <f>#REF!</f>
        <v>#REF!</v>
      </c>
      <c r="AJ77" s="209" t="e">
        <f>#REF!</f>
        <v>#REF!</v>
      </c>
      <c r="AK77" s="209" t="e">
        <f>#REF!</f>
        <v>#REF!</v>
      </c>
      <c r="AL77" s="207" t="e">
        <f t="shared" si="10"/>
        <v>#REF!</v>
      </c>
      <c r="AM77" s="208">
        <f t="shared" si="11"/>
        <v>0</v>
      </c>
      <c r="AN77" s="209" t="e">
        <f>#REF!</f>
        <v>#REF!</v>
      </c>
      <c r="AO77" s="209" t="e">
        <f>#REF!</f>
        <v>#REF!</v>
      </c>
      <c r="AP77" s="209" t="e">
        <f>#REF!</f>
        <v>#REF!</v>
      </c>
      <c r="AQ77" s="209" t="e">
        <f>#REF!</f>
        <v>#REF!</v>
      </c>
    </row>
    <row r="78" spans="4:43" ht="13.5" customHeight="1">
      <c r="D78" s="1">
        <v>18</v>
      </c>
      <c r="AB78" s="176" t="s">
        <v>1112</v>
      </c>
      <c r="AC78" s="192" t="s">
        <v>1113</v>
      </c>
      <c r="AD78" s="176" t="s">
        <v>619</v>
      </c>
      <c r="AE78" s="209" t="e">
        <f>#REF!</f>
        <v>#REF!</v>
      </c>
      <c r="AF78" s="209" t="e">
        <f>#REF!</f>
        <v>#REF!</v>
      </c>
      <c r="AG78" s="209" t="e">
        <f>#REF!</f>
        <v>#REF!</v>
      </c>
      <c r="AH78" s="207">
        <f t="shared" si="9"/>
        <v>0</v>
      </c>
      <c r="AI78" s="209" t="e">
        <f>#REF!</f>
        <v>#REF!</v>
      </c>
      <c r="AJ78" s="209" t="e">
        <f>#REF!</f>
        <v>#REF!</v>
      </c>
      <c r="AK78" s="209" t="e">
        <f>#REF!</f>
        <v>#REF!</v>
      </c>
      <c r="AL78" s="207" t="e">
        <f t="shared" si="10"/>
        <v>#REF!</v>
      </c>
      <c r="AM78" s="208">
        <f t="shared" si="11"/>
        <v>0</v>
      </c>
      <c r="AN78" s="209" t="e">
        <f>#REF!</f>
        <v>#REF!</v>
      </c>
      <c r="AO78" s="209" t="e">
        <f>#REF!</f>
        <v>#REF!</v>
      </c>
      <c r="AP78" s="209" t="e">
        <f>#REF!</f>
        <v>#REF!</v>
      </c>
      <c r="AQ78" s="209" t="e">
        <f>#REF!</f>
        <v>#REF!</v>
      </c>
    </row>
    <row r="79" spans="4:43" ht="13.5" customHeight="1">
      <c r="D79" s="1">
        <v>18</v>
      </c>
      <c r="AB79" s="176" t="s">
        <v>1114</v>
      </c>
      <c r="AC79" s="210" t="s">
        <v>175</v>
      </c>
      <c r="AD79" s="176" t="s">
        <v>619</v>
      </c>
      <c r="AE79" s="209"/>
      <c r="AF79" s="209"/>
      <c r="AG79" s="209"/>
      <c r="AH79" s="207">
        <f t="shared" si="9"/>
        <v>0</v>
      </c>
      <c r="AI79" s="209"/>
      <c r="AJ79" s="209"/>
      <c r="AK79" s="209"/>
      <c r="AL79" s="207">
        <f t="shared" si="10"/>
        <v>0</v>
      </c>
      <c r="AM79" s="208">
        <f t="shared" si="11"/>
        <v>0</v>
      </c>
      <c r="AN79" s="209"/>
      <c r="AO79" s="209"/>
      <c r="AP79" s="209"/>
      <c r="AQ79" s="209"/>
    </row>
    <row r="80" spans="4:43" ht="13.5" customHeight="1">
      <c r="D80" s="1">
        <v>18</v>
      </c>
      <c r="AB80" s="176" t="s">
        <v>1115</v>
      </c>
      <c r="AC80" s="210" t="s">
        <v>183</v>
      </c>
      <c r="AD80" s="176" t="s">
        <v>619</v>
      </c>
      <c r="AE80" s="209"/>
      <c r="AF80" s="209"/>
      <c r="AG80" s="209"/>
      <c r="AH80" s="207">
        <f t="shared" si="9"/>
        <v>0</v>
      </c>
      <c r="AI80" s="209"/>
      <c r="AJ80" s="209"/>
      <c r="AK80" s="209"/>
      <c r="AL80" s="207">
        <f t="shared" si="10"/>
        <v>0</v>
      </c>
      <c r="AM80" s="208">
        <f t="shared" si="11"/>
        <v>0</v>
      </c>
      <c r="AN80" s="209"/>
      <c r="AO80" s="209"/>
      <c r="AP80" s="209"/>
      <c r="AQ80" s="209"/>
    </row>
    <row r="81" spans="4:43" ht="13.5" customHeight="1">
      <c r="D81" s="1">
        <v>18</v>
      </c>
      <c r="AB81" s="176" t="s">
        <v>1116</v>
      </c>
      <c r="AC81" s="210" t="s">
        <v>188</v>
      </c>
      <c r="AD81" s="176" t="s">
        <v>619</v>
      </c>
      <c r="AE81" s="209"/>
      <c r="AF81" s="209"/>
      <c r="AG81" s="209"/>
      <c r="AH81" s="207">
        <f t="shared" si="9"/>
        <v>0</v>
      </c>
      <c r="AI81" s="209"/>
      <c r="AJ81" s="209"/>
      <c r="AK81" s="209"/>
      <c r="AL81" s="207">
        <f t="shared" si="10"/>
        <v>0</v>
      </c>
      <c r="AM81" s="208">
        <f t="shared" si="11"/>
        <v>0</v>
      </c>
      <c r="AN81" s="209"/>
      <c r="AO81" s="209"/>
      <c r="AP81" s="209"/>
      <c r="AQ81" s="209"/>
    </row>
    <row r="82" spans="4:43" ht="13.5" customHeight="1">
      <c r="D82" s="1">
        <v>18</v>
      </c>
      <c r="AB82" s="176" t="s">
        <v>1117</v>
      </c>
      <c r="AC82" s="210" t="s">
        <v>194</v>
      </c>
      <c r="AD82" s="176" t="s">
        <v>619</v>
      </c>
      <c r="AE82" s="209"/>
      <c r="AF82" s="209"/>
      <c r="AG82" s="209"/>
      <c r="AH82" s="207">
        <f t="shared" si="9"/>
        <v>0</v>
      </c>
      <c r="AI82" s="209"/>
      <c r="AJ82" s="209"/>
      <c r="AK82" s="209"/>
      <c r="AL82" s="207">
        <f t="shared" si="10"/>
        <v>0</v>
      </c>
      <c r="AM82" s="208">
        <f t="shared" si="11"/>
        <v>0</v>
      </c>
      <c r="AN82" s="209"/>
      <c r="AO82" s="209"/>
      <c r="AP82" s="209"/>
      <c r="AQ82" s="209"/>
    </row>
    <row r="83" spans="4:43" ht="13.5" customHeight="1">
      <c r="D83" s="1">
        <v>18</v>
      </c>
      <c r="AB83" s="176" t="s">
        <v>1118</v>
      </c>
      <c r="AC83" s="210" t="s">
        <v>189</v>
      </c>
      <c r="AD83" s="176" t="s">
        <v>619</v>
      </c>
      <c r="AE83" s="209"/>
      <c r="AF83" s="209"/>
      <c r="AG83" s="209"/>
      <c r="AH83" s="207">
        <f t="shared" si="9"/>
        <v>0</v>
      </c>
      <c r="AI83" s="209"/>
      <c r="AJ83" s="209"/>
      <c r="AK83" s="209"/>
      <c r="AL83" s="207">
        <f t="shared" si="10"/>
        <v>0</v>
      </c>
      <c r="AM83" s="208">
        <f t="shared" si="11"/>
        <v>0</v>
      </c>
      <c r="AN83" s="209"/>
      <c r="AO83" s="209"/>
      <c r="AP83" s="209"/>
      <c r="AQ83" s="209"/>
    </row>
    <row r="84" spans="4:43" ht="13.5" customHeight="1">
      <c r="D84" s="1">
        <v>18</v>
      </c>
      <c r="AB84" s="176" t="s">
        <v>1119</v>
      </c>
      <c r="AC84" s="192" t="s">
        <v>996</v>
      </c>
      <c r="AD84" s="176" t="s">
        <v>619</v>
      </c>
      <c r="AE84" s="209" t="e">
        <f>#REF!</f>
        <v>#REF!</v>
      </c>
      <c r="AF84" s="209" t="e">
        <f>#REF!</f>
        <v>#REF!</v>
      </c>
      <c r="AG84" s="209" t="e">
        <f>#REF!</f>
        <v>#REF!</v>
      </c>
      <c r="AH84" s="207">
        <f t="shared" si="9"/>
        <v>0</v>
      </c>
      <c r="AI84" s="209" t="e">
        <f>#REF!</f>
        <v>#REF!</v>
      </c>
      <c r="AJ84" s="209" t="e">
        <f>#REF!</f>
        <v>#REF!</v>
      </c>
      <c r="AK84" s="209" t="e">
        <f>#REF!</f>
        <v>#REF!</v>
      </c>
      <c r="AL84" s="207" t="e">
        <f t="shared" si="10"/>
        <v>#REF!</v>
      </c>
      <c r="AM84" s="208">
        <f t="shared" si="11"/>
        <v>0</v>
      </c>
      <c r="AN84" s="209" t="e">
        <f>#REF!</f>
        <v>#REF!</v>
      </c>
      <c r="AO84" s="209" t="e">
        <f>#REF!</f>
        <v>#REF!</v>
      </c>
      <c r="AP84" s="209" t="e">
        <f>#REF!</f>
        <v>#REF!</v>
      </c>
      <c r="AQ84" s="209" t="e">
        <f>#REF!</f>
        <v>#REF!</v>
      </c>
    </row>
    <row r="85" spans="4:43" ht="13.5" customHeight="1">
      <c r="D85" s="1">
        <v>18</v>
      </c>
      <c r="AB85" s="176" t="s">
        <v>1120</v>
      </c>
      <c r="AC85" s="210" t="s">
        <v>175</v>
      </c>
      <c r="AD85" s="176" t="s">
        <v>619</v>
      </c>
      <c r="AE85" s="209"/>
      <c r="AF85" s="209"/>
      <c r="AG85" s="209"/>
      <c r="AH85" s="207">
        <f t="shared" si="9"/>
        <v>0</v>
      </c>
      <c r="AI85" s="209"/>
      <c r="AJ85" s="209"/>
      <c r="AK85" s="209"/>
      <c r="AL85" s="207">
        <f t="shared" si="10"/>
        <v>0</v>
      </c>
      <c r="AM85" s="208">
        <f t="shared" si="11"/>
        <v>0</v>
      </c>
      <c r="AN85" s="209"/>
      <c r="AO85" s="209"/>
      <c r="AP85" s="209"/>
      <c r="AQ85" s="209"/>
    </row>
    <row r="86" spans="4:43" ht="13.5" customHeight="1">
      <c r="D86" s="1">
        <v>18</v>
      </c>
      <c r="AB86" s="176" t="s">
        <v>1121</v>
      </c>
      <c r="AC86" s="210" t="s">
        <v>183</v>
      </c>
      <c r="AD86" s="176" t="s">
        <v>619</v>
      </c>
      <c r="AE86" s="209"/>
      <c r="AF86" s="209"/>
      <c r="AG86" s="209"/>
      <c r="AH86" s="207">
        <f t="shared" si="9"/>
        <v>0</v>
      </c>
      <c r="AI86" s="209"/>
      <c r="AJ86" s="209"/>
      <c r="AK86" s="209"/>
      <c r="AL86" s="207">
        <f t="shared" si="10"/>
        <v>0</v>
      </c>
      <c r="AM86" s="208">
        <f t="shared" si="11"/>
        <v>0</v>
      </c>
      <c r="AN86" s="209"/>
      <c r="AO86" s="209"/>
      <c r="AP86" s="209"/>
      <c r="AQ86" s="209"/>
    </row>
    <row r="87" spans="4:43" ht="13.5" customHeight="1">
      <c r="D87" s="1">
        <v>18</v>
      </c>
      <c r="AB87" s="176" t="s">
        <v>1122</v>
      </c>
      <c r="AC87" s="210" t="s">
        <v>188</v>
      </c>
      <c r="AD87" s="176" t="s">
        <v>619</v>
      </c>
      <c r="AE87" s="209"/>
      <c r="AF87" s="209"/>
      <c r="AG87" s="209"/>
      <c r="AH87" s="207">
        <f t="shared" si="9"/>
        <v>0</v>
      </c>
      <c r="AI87" s="209"/>
      <c r="AJ87" s="209"/>
      <c r="AK87" s="209"/>
      <c r="AL87" s="207">
        <f t="shared" si="10"/>
        <v>0</v>
      </c>
      <c r="AM87" s="208">
        <f t="shared" si="11"/>
        <v>0</v>
      </c>
      <c r="AN87" s="209"/>
      <c r="AO87" s="209"/>
      <c r="AP87" s="209"/>
      <c r="AQ87" s="209"/>
    </row>
    <row r="88" spans="4:43" ht="13.5" customHeight="1">
      <c r="D88" s="1">
        <v>18</v>
      </c>
      <c r="AB88" s="176" t="s">
        <v>1123</v>
      </c>
      <c r="AC88" s="210" t="s">
        <v>194</v>
      </c>
      <c r="AD88" s="176" t="s">
        <v>619</v>
      </c>
      <c r="AE88" s="209"/>
      <c r="AF88" s="209"/>
      <c r="AG88" s="209"/>
      <c r="AH88" s="207">
        <f t="shared" si="9"/>
        <v>0</v>
      </c>
      <c r="AI88" s="209"/>
      <c r="AJ88" s="209"/>
      <c r="AK88" s="209"/>
      <c r="AL88" s="207">
        <f t="shared" si="10"/>
        <v>0</v>
      </c>
      <c r="AM88" s="208">
        <f t="shared" si="11"/>
        <v>0</v>
      </c>
      <c r="AN88" s="209"/>
      <c r="AO88" s="209"/>
      <c r="AP88" s="209"/>
      <c r="AQ88" s="209"/>
    </row>
    <row r="89" spans="4:43" ht="15" customHeight="1">
      <c r="D89" s="1">
        <v>18</v>
      </c>
      <c r="AB89" s="176" t="s">
        <v>1124</v>
      </c>
      <c r="AC89" s="210" t="s">
        <v>189</v>
      </c>
      <c r="AD89" s="176" t="s">
        <v>619</v>
      </c>
      <c r="AE89" s="209"/>
      <c r="AF89" s="209"/>
      <c r="AG89" s="209"/>
      <c r="AH89" s="207">
        <f t="shared" si="9"/>
        <v>0</v>
      </c>
      <c r="AI89" s="209"/>
      <c r="AJ89" s="209"/>
      <c r="AK89" s="209"/>
      <c r="AL89" s="207">
        <f t="shared" si="10"/>
        <v>0</v>
      </c>
      <c r="AM89" s="208">
        <f t="shared" si="11"/>
        <v>0</v>
      </c>
      <c r="AN89" s="209"/>
      <c r="AO89" s="209"/>
      <c r="AP89" s="209"/>
      <c r="AQ89" s="209"/>
    </row>
    <row r="90" spans="4:43" ht="39" customHeight="1">
      <c r="D90" s="1">
        <v>52</v>
      </c>
      <c r="AB90" s="176"/>
      <c r="AC90" s="192" t="s">
        <v>1125</v>
      </c>
      <c r="AD90" s="176" t="s">
        <v>619</v>
      </c>
      <c r="AE90" s="207">
        <f t="shared" ref="AE90:AK90" si="12">IFERROR(AE84/(AE101-SUM(AE84,AE76,AE63)),0)</f>
        <v>0</v>
      </c>
      <c r="AF90" s="207">
        <f t="shared" si="12"/>
        <v>0</v>
      </c>
      <c r="AG90" s="207">
        <f t="shared" si="12"/>
        <v>0</v>
      </c>
      <c r="AH90" s="207">
        <f t="shared" si="12"/>
        <v>0</v>
      </c>
      <c r="AI90" s="207">
        <f t="shared" si="12"/>
        <v>0</v>
      </c>
      <c r="AJ90" s="207">
        <f t="shared" si="12"/>
        <v>0</v>
      </c>
      <c r="AK90" s="207">
        <f t="shared" si="12"/>
        <v>0</v>
      </c>
      <c r="AL90" s="207">
        <f t="shared" si="10"/>
        <v>0</v>
      </c>
      <c r="AM90" s="208">
        <f t="shared" si="11"/>
        <v>0</v>
      </c>
      <c r="AN90" s="207">
        <f>IFERROR(AN84/(AN101-SUM(AN84,AN76,AN63)),0)</f>
        <v>0</v>
      </c>
      <c r="AO90" s="207">
        <f>IFERROR(AO84/(AO101-SUM(AO84,AO76,AO63)),0)</f>
        <v>0</v>
      </c>
      <c r="AP90" s="207">
        <f>IFERROR(AP84/(AP101-SUM(AP84,AP76,AP63)),0)</f>
        <v>0</v>
      </c>
      <c r="AQ90" s="207">
        <f>IFERROR(AQ84/(AQ101-SUM(AQ84,AQ76,AQ63)),0)</f>
        <v>0</v>
      </c>
    </row>
    <row r="91" spans="4:43" ht="13.5" customHeight="1">
      <c r="D91" s="1">
        <v>18</v>
      </c>
      <c r="AB91" s="206"/>
      <c r="AC91" s="196" t="s">
        <v>1126</v>
      </c>
      <c r="AD91" s="206" t="s">
        <v>619</v>
      </c>
      <c r="AE91" s="211" t="e">
        <f t="shared" ref="AE91:AL91" si="13">SUM(AE60:AE64,AE73:AE78,AE84)</f>
        <v>#REF!</v>
      </c>
      <c r="AF91" s="211" t="e">
        <f t="shared" si="13"/>
        <v>#REF!</v>
      </c>
      <c r="AG91" s="211" t="e">
        <f t="shared" si="13"/>
        <v>#REF!</v>
      </c>
      <c r="AH91" s="211">
        <f t="shared" si="13"/>
        <v>0</v>
      </c>
      <c r="AI91" s="211" t="e">
        <f t="shared" si="13"/>
        <v>#REF!</v>
      </c>
      <c r="AJ91" s="211" t="e">
        <f t="shared" si="13"/>
        <v>#REF!</v>
      </c>
      <c r="AK91" s="211" t="e">
        <f t="shared" si="13"/>
        <v>#REF!</v>
      </c>
      <c r="AL91" s="211" t="e">
        <f t="shared" si="13"/>
        <v>#REF!</v>
      </c>
      <c r="AM91" s="212">
        <f t="shared" si="11"/>
        <v>0</v>
      </c>
      <c r="AN91" s="211" t="e">
        <f>SUM(AN60:AN64,AN73:AN78,AN84)</f>
        <v>#REF!</v>
      </c>
      <c r="AO91" s="211" t="e">
        <f>SUM(AO60:AO64,AO73:AO78,AO84)</f>
        <v>#REF!</v>
      </c>
      <c r="AP91" s="211" t="e">
        <f>SUM(AP60:AP64,AP73:AP78,AP84)</f>
        <v>#REF!</v>
      </c>
      <c r="AQ91" s="211" t="e">
        <f>SUM(AQ60:AQ64,AQ73:AQ78,AQ84)</f>
        <v>#REF!</v>
      </c>
    </row>
    <row r="92" spans="4:43" ht="13.5" customHeight="1">
      <c r="D92" s="1">
        <v>18</v>
      </c>
      <c r="AB92" s="206" t="s">
        <v>1127</v>
      </c>
      <c r="AC92" s="175" t="s">
        <v>1128</v>
      </c>
      <c r="AD92" s="176" t="s">
        <v>619</v>
      </c>
      <c r="AE92" s="209" t="e">
        <f>#REF!</f>
        <v>#REF!</v>
      </c>
      <c r="AF92" s="209" t="e">
        <f>#REF!</f>
        <v>#REF!</v>
      </c>
      <c r="AG92" s="209" t="e">
        <f>#REF!</f>
        <v>#REF!</v>
      </c>
      <c r="AH92" s="207">
        <f>IFERROR(AF92-AE92,0)</f>
        <v>0</v>
      </c>
      <c r="AI92" s="209" t="e">
        <f>#REF!</f>
        <v>#REF!</v>
      </c>
      <c r="AJ92" s="209" t="e">
        <f>#REF!</f>
        <v>#REF!</v>
      </c>
      <c r="AK92" s="209" t="e">
        <f>#REF!</f>
        <v>#REF!</v>
      </c>
      <c r="AL92" s="207" t="e">
        <f>AK92-AJ92</f>
        <v>#REF!</v>
      </c>
      <c r="AM92" s="208">
        <f t="shared" si="11"/>
        <v>0</v>
      </c>
      <c r="AN92" s="209" t="e">
        <f>#REF!</f>
        <v>#REF!</v>
      </c>
      <c r="AO92" s="209" t="e">
        <f>#REF!</f>
        <v>#REF!</v>
      </c>
      <c r="AP92" s="209" t="e">
        <f>#REF!</f>
        <v>#REF!</v>
      </c>
      <c r="AQ92" s="209" t="e">
        <f>#REF!</f>
        <v>#REF!</v>
      </c>
    </row>
    <row r="93" spans="4:43" ht="13.5" customHeight="1">
      <c r="D93" s="1">
        <v>18</v>
      </c>
      <c r="AB93" s="206" t="s">
        <v>1129</v>
      </c>
      <c r="AC93" s="175" t="s">
        <v>1008</v>
      </c>
      <c r="AD93" s="176" t="s">
        <v>619</v>
      </c>
      <c r="AE93" s="209" t="e">
        <f>#REF!</f>
        <v>#REF!</v>
      </c>
      <c r="AF93" s="209" t="e">
        <f>#REF!</f>
        <v>#REF!</v>
      </c>
      <c r="AG93" s="209" t="e">
        <f>#REF!</f>
        <v>#REF!</v>
      </c>
      <c r="AH93" s="207">
        <f>IFERROR(AF93-AE93,0)</f>
        <v>0</v>
      </c>
      <c r="AI93" s="209" t="e">
        <f>#REF!</f>
        <v>#REF!</v>
      </c>
      <c r="AJ93" s="209" t="e">
        <f>#REF!</f>
        <v>#REF!</v>
      </c>
      <c r="AK93" s="209" t="e">
        <f>#REF!</f>
        <v>#REF!</v>
      </c>
      <c r="AL93" s="207" t="e">
        <f>AK93-AJ93</f>
        <v>#REF!</v>
      </c>
      <c r="AM93" s="208">
        <f t="shared" si="11"/>
        <v>0</v>
      </c>
      <c r="AN93" s="209" t="e">
        <f>#REF!</f>
        <v>#REF!</v>
      </c>
      <c r="AO93" s="209" t="e">
        <f>#REF!</f>
        <v>#REF!</v>
      </c>
      <c r="AP93" s="209" t="e">
        <f>#REF!</f>
        <v>#REF!</v>
      </c>
      <c r="AQ93" s="209" t="e">
        <f>#REF!</f>
        <v>#REF!</v>
      </c>
    </row>
    <row r="94" spans="4:43" ht="13.5" customHeight="1">
      <c r="D94" s="1">
        <v>18</v>
      </c>
      <c r="AB94" s="206">
        <v>5</v>
      </c>
      <c r="AC94" s="197" t="s">
        <v>1130</v>
      </c>
      <c r="AD94" s="198"/>
      <c r="AE94" s="198"/>
      <c r="AF94" s="198"/>
      <c r="AG94" s="198"/>
      <c r="AH94" s="198"/>
      <c r="AI94" s="198"/>
      <c r="AJ94" s="198"/>
      <c r="AK94" s="198"/>
      <c r="AL94" s="198"/>
      <c r="AM94" s="198"/>
      <c r="AN94" s="198"/>
      <c r="AO94" s="198"/>
      <c r="AP94" s="198"/>
      <c r="AQ94" s="199"/>
    </row>
    <row r="95" spans="4:43" ht="47.25" customHeight="1">
      <c r="D95" s="1">
        <v>63</v>
      </c>
      <c r="AB95" s="176" t="s">
        <v>1131</v>
      </c>
      <c r="AC95" s="192" t="s">
        <v>1132</v>
      </c>
      <c r="AD95" s="176" t="s">
        <v>619</v>
      </c>
      <c r="AE95" s="209" t="e">
        <f>#REF!+#REF!+#REF!+#REF!+#REF!+#REF!+#REF!+#REF!+#REF!+#REF!</f>
        <v>#REF!</v>
      </c>
      <c r="AF95" s="209" t="e">
        <f>#REF!+#REF!+#REF!+#REF!+#REF!+#REF!+#REF!+#REF!+#REF!+#REF!</f>
        <v>#REF!</v>
      </c>
      <c r="AG95" s="209" t="e">
        <f>#REF!+#REF!+#REF!+#REF!+#REF!+#REF!+#REF!+#REF!+#REF!+#REF!</f>
        <v>#REF!</v>
      </c>
      <c r="AH95" s="207">
        <f>IFERROR(AF95-AE95,0)</f>
        <v>0</v>
      </c>
      <c r="AI95" s="209" t="e">
        <f>#REF!+#REF!+#REF!+#REF!+#REF!+#REF!+#REF!+#REF!+#REF!+#REF!</f>
        <v>#REF!</v>
      </c>
      <c r="AJ95" s="209" t="e">
        <f>#REF!+#REF!+#REF!+#REF!+#REF!+#REF!+#REF!+#REF!+#REF!+#REF!</f>
        <v>#REF!</v>
      </c>
      <c r="AK95" s="209" t="e">
        <f>#REF!+#REF!+#REF!+#REF!+#REF!+#REF!+#REF!+#REF!+#REF!+#REF!</f>
        <v>#REF!</v>
      </c>
      <c r="AL95" s="207" t="e">
        <f>AK95-AJ95</f>
        <v>#REF!</v>
      </c>
      <c r="AM95" s="208">
        <f>IFERROR(AK95/AI95-1,0)</f>
        <v>0</v>
      </c>
      <c r="AN95" s="214"/>
      <c r="AO95" s="214"/>
      <c r="AP95" s="214"/>
      <c r="AQ95" s="214"/>
    </row>
    <row r="96" spans="4:43" ht="13.5" customHeight="1">
      <c r="D96" s="1">
        <v>18</v>
      </c>
      <c r="AB96" s="206">
        <v>6</v>
      </c>
      <c r="AC96" s="197" t="s">
        <v>1133</v>
      </c>
      <c r="AD96" s="198"/>
      <c r="AE96" s="198"/>
      <c r="AF96" s="198"/>
      <c r="AG96" s="198"/>
      <c r="AH96" s="198"/>
      <c r="AI96" s="198"/>
      <c r="AJ96" s="198"/>
      <c r="AK96" s="198"/>
      <c r="AL96" s="198"/>
      <c r="AM96" s="198"/>
      <c r="AN96" s="198"/>
      <c r="AO96" s="198"/>
      <c r="AP96" s="198"/>
      <c r="AQ96" s="199"/>
    </row>
    <row r="97" spans="4:43" ht="13.5" customHeight="1">
      <c r="D97" s="1">
        <v>18</v>
      </c>
      <c r="AB97" s="215" t="s">
        <v>1134</v>
      </c>
      <c r="AC97" s="192" t="s">
        <v>1135</v>
      </c>
      <c r="AD97" s="176"/>
      <c r="AE97" s="209"/>
      <c r="AF97" s="209"/>
      <c r="AG97" s="209"/>
      <c r="AH97" s="207">
        <f>IFERROR(AF97-AE97,0)</f>
        <v>0</v>
      </c>
      <c r="AI97" s="209"/>
      <c r="AJ97" s="209" t="e">
        <f>#REF!</f>
        <v>#REF!</v>
      </c>
      <c r="AK97" s="209" t="e">
        <f>#REF!</f>
        <v>#REF!</v>
      </c>
      <c r="AL97" s="207" t="e">
        <f>AK97-AJ97</f>
        <v>#REF!</v>
      </c>
      <c r="AM97" s="208">
        <f>IFERROR(AK97/AI97-1,0)</f>
        <v>0</v>
      </c>
      <c r="AN97" s="214"/>
      <c r="AO97" s="214"/>
      <c r="AP97" s="214"/>
      <c r="AQ97" s="214"/>
    </row>
    <row r="98" spans="4:43" ht="24" customHeight="1">
      <c r="D98" s="1">
        <v>32</v>
      </c>
      <c r="AB98" s="176" t="s">
        <v>1136</v>
      </c>
      <c r="AC98" s="192" t="str">
        <f>"НВВ "&amp;PRD-2&amp;" года"</f>
        <v>НВВ 2024 года</v>
      </c>
      <c r="AD98" s="176" t="s">
        <v>619</v>
      </c>
      <c r="AE98" s="209"/>
      <c r="AF98" s="209"/>
      <c r="AG98" s="209"/>
      <c r="AH98" s="207">
        <f>IFERROR(AF98-AE98,0)</f>
        <v>0</v>
      </c>
      <c r="AI98" s="209"/>
      <c r="AJ98" s="209" t="e">
        <f>#REF!</f>
        <v>#REF!</v>
      </c>
      <c r="AK98" s="209" t="e">
        <f>#REF!</f>
        <v>#REF!</v>
      </c>
      <c r="AL98" s="207" t="e">
        <f>AK98-AJ98</f>
        <v>#REF!</v>
      </c>
      <c r="AM98" s="208">
        <f>IFERROR(AK98/AI98-1,0)</f>
        <v>0</v>
      </c>
      <c r="AN98" s="214"/>
      <c r="AO98" s="214"/>
      <c r="AP98" s="214"/>
      <c r="AQ98" s="214"/>
    </row>
    <row r="99" spans="4:43" ht="35.25" customHeight="1">
      <c r="D99" s="1">
        <v>47</v>
      </c>
      <c r="AB99" s="206"/>
      <c r="AC99" s="196" t="s">
        <v>1137</v>
      </c>
      <c r="AD99" s="206" t="s">
        <v>619</v>
      </c>
      <c r="AE99" s="211">
        <f>AE98*AE97</f>
        <v>0</v>
      </c>
      <c r="AF99" s="211">
        <f>AF98*AF97</f>
        <v>0</v>
      </c>
      <c r="AG99" s="211">
        <f>AG98*AG97</f>
        <v>0</v>
      </c>
      <c r="AH99" s="211">
        <f>IFERROR(AF99-AE99,0)</f>
        <v>0</v>
      </c>
      <c r="AI99" s="211">
        <f>AI98*AI97</f>
        <v>0</v>
      </c>
      <c r="AJ99" s="211" t="e">
        <f>AJ98*AJ97</f>
        <v>#REF!</v>
      </c>
      <c r="AK99" s="211" t="e">
        <f>AK98*AK97</f>
        <v>#REF!</v>
      </c>
      <c r="AL99" s="211" t="e">
        <f>AK99-AJ99</f>
        <v>#REF!</v>
      </c>
      <c r="AM99" s="212">
        <f>IFERROR(AK99/AI99-1,0)</f>
        <v>0</v>
      </c>
      <c r="AN99" s="216"/>
      <c r="AO99" s="216"/>
      <c r="AP99" s="216"/>
      <c r="AQ99" s="216"/>
    </row>
    <row r="100" spans="4:43" ht="13.5" customHeight="1">
      <c r="D100" s="1">
        <v>18</v>
      </c>
      <c r="AB100" s="206" t="s">
        <v>1138</v>
      </c>
      <c r="AC100" s="217" t="s">
        <v>1023</v>
      </c>
      <c r="AD100" s="206" t="s">
        <v>619</v>
      </c>
      <c r="AE100" s="211" t="e">
        <f>SUM(AE58,AE91,AE95,AE99)+AE92+AE93</f>
        <v>#REF!</v>
      </c>
      <c r="AF100" s="211" t="e">
        <f>SUM(AF58,AF91,AF95,AF99)+AF92+AF93</f>
        <v>#REF!</v>
      </c>
      <c r="AG100" s="211" t="e">
        <f>SUM(AG58,AG91,AG95,AG99)+AG92+AG93</f>
        <v>#REF!</v>
      </c>
      <c r="AH100" s="211">
        <f>IFERROR(AF100-AE100,0)</f>
        <v>0</v>
      </c>
      <c r="AI100" s="211" t="e">
        <f>SUM(AI58,AI91,AI95,AI99)+AI92+AI93</f>
        <v>#REF!</v>
      </c>
      <c r="AJ100" s="211" t="e">
        <f>SUM(AJ58,AJ91,AJ95,AJ99)+AJ92+AJ93</f>
        <v>#REF!</v>
      </c>
      <c r="AK100" s="211" t="e">
        <f>SUM(AK58,AK91,AK95,AK99)+AK92+AK93</f>
        <v>#REF!</v>
      </c>
      <c r="AL100" s="211" t="e">
        <f>AK100-AJ100</f>
        <v>#REF!</v>
      </c>
      <c r="AM100" s="212">
        <f>IFERROR(AK100/AI100-1,0)</f>
        <v>0</v>
      </c>
      <c r="AN100" s="211" t="e">
        <f>SUM(AN58,AN91,AN95,AN99)</f>
        <v>#REF!</v>
      </c>
      <c r="AO100" s="211" t="e">
        <f>SUM(AO58,AO91,AO95,AO99)</f>
        <v>#REF!</v>
      </c>
      <c r="AP100" s="211" t="e">
        <f>SUM(AP58,AP91,AP95,AP99)</f>
        <v>#REF!</v>
      </c>
      <c r="AQ100" s="211" t="e">
        <f>SUM(AQ58,AQ91,AQ95,AQ99)</f>
        <v>#REF!</v>
      </c>
    </row>
    <row r="101" spans="4:43" ht="27" customHeight="1">
      <c r="D101" s="1">
        <v>36</v>
      </c>
      <c r="AB101" s="206" t="s">
        <v>1139</v>
      </c>
      <c r="AC101" s="217" t="s">
        <v>1140</v>
      </c>
      <c r="AD101" s="206" t="s">
        <v>619</v>
      </c>
      <c r="AE101" s="211" t="e">
        <f>AE100-AE60</f>
        <v>#REF!</v>
      </c>
      <c r="AF101" s="211" t="e">
        <f>AF100-AF60</f>
        <v>#REF!</v>
      </c>
      <c r="AG101" s="211" t="e">
        <f>AG100-AG60</f>
        <v>#REF!</v>
      </c>
      <c r="AH101" s="211">
        <f>IFERROR(AF101-AE101,0)</f>
        <v>0</v>
      </c>
      <c r="AI101" s="211" t="e">
        <f>AI100-AI60</f>
        <v>#REF!</v>
      </c>
      <c r="AJ101" s="211" t="e">
        <f>AJ100-AJ60</f>
        <v>#REF!</v>
      </c>
      <c r="AK101" s="211" t="e">
        <f>AK100-AK60</f>
        <v>#REF!</v>
      </c>
      <c r="AL101" s="211" t="e">
        <f>AK101-AJ101</f>
        <v>#REF!</v>
      </c>
      <c r="AM101" s="212">
        <f>IFERROR(AK101/AI101-1,0)</f>
        <v>0</v>
      </c>
      <c r="AN101" s="211" t="e">
        <f>AN100-AN60</f>
        <v>#REF!</v>
      </c>
      <c r="AO101" s="211" t="e">
        <f>AO100-AO60</f>
        <v>#REF!</v>
      </c>
      <c r="AP101" s="211" t="e">
        <f>AP100-AP60</f>
        <v>#REF!</v>
      </c>
      <c r="AQ101" s="211" t="e">
        <f>AQ100-AQ60</f>
        <v>#REF!</v>
      </c>
    </row>
    <row r="102" spans="4:43" ht="13.5" customHeight="1">
      <c r="D102" s="1">
        <v>18</v>
      </c>
      <c r="AB102" s="218">
        <v>9</v>
      </c>
      <c r="AC102" s="197" t="s">
        <v>1141</v>
      </c>
      <c r="AD102" s="219"/>
      <c r="AE102" s="219"/>
      <c r="AF102" s="219"/>
      <c r="AG102" s="219"/>
      <c r="AH102" s="219"/>
      <c r="AI102" s="219"/>
      <c r="AJ102" s="219"/>
      <c r="AK102" s="219"/>
      <c r="AL102" s="219"/>
      <c r="AM102" s="219"/>
      <c r="AN102" s="219"/>
      <c r="AO102" s="219"/>
      <c r="AP102" s="219"/>
      <c r="AQ102" s="220"/>
    </row>
    <row r="103" spans="4:43" ht="13.5" customHeight="1">
      <c r="D103" s="1">
        <v>18</v>
      </c>
      <c r="AB103" s="176" t="s">
        <v>1142</v>
      </c>
      <c r="AC103" s="192" t="s">
        <v>1025</v>
      </c>
      <c r="AD103" s="176" t="s">
        <v>1026</v>
      </c>
      <c r="AE103" s="209" t="e">
        <f>#REF!</f>
        <v>#REF!</v>
      </c>
      <c r="AF103" s="209" t="e">
        <f>#REF!</f>
        <v>#REF!</v>
      </c>
      <c r="AG103" s="209" t="e">
        <f>#REF!</f>
        <v>#REF!</v>
      </c>
      <c r="AH103" s="207">
        <f>IFERROR(AF103-AE103,0)</f>
        <v>0</v>
      </c>
      <c r="AI103" s="209" t="e">
        <f>#REF!</f>
        <v>#REF!</v>
      </c>
      <c r="AJ103" s="209" t="e">
        <f>#REF!</f>
        <v>#REF!</v>
      </c>
      <c r="AK103" s="209" t="e">
        <f>#REF!</f>
        <v>#REF!</v>
      </c>
      <c r="AL103" s="207" t="e">
        <f>AK103-AJ103</f>
        <v>#REF!</v>
      </c>
      <c r="AM103" s="208">
        <f>IFERROR(AK103/AI103-1,0)</f>
        <v>0</v>
      </c>
      <c r="AN103" s="209" t="e">
        <f>AJ103</f>
        <v>#REF!</v>
      </c>
      <c r="AO103" s="209" t="e">
        <f t="shared" ref="AO103:AQ104" si="14">AN103</f>
        <v>#REF!</v>
      </c>
      <c r="AP103" s="209" t="e">
        <f t="shared" si="14"/>
        <v>#REF!</v>
      </c>
      <c r="AQ103" s="209" t="e">
        <f t="shared" si="14"/>
        <v>#REF!</v>
      </c>
    </row>
    <row r="104" spans="4:43" ht="13.5" customHeight="1">
      <c r="D104" s="1">
        <v>18</v>
      </c>
      <c r="AB104" s="176" t="s">
        <v>1143</v>
      </c>
      <c r="AC104" s="192" t="s">
        <v>1027</v>
      </c>
      <c r="AD104" s="176" t="s">
        <v>1028</v>
      </c>
      <c r="AE104" s="209" t="e">
        <f>#REF!</f>
        <v>#REF!</v>
      </c>
      <c r="AF104" s="209" t="e">
        <f>#REF!</f>
        <v>#REF!</v>
      </c>
      <c r="AG104" s="209" t="e">
        <f>#REF!</f>
        <v>#REF!</v>
      </c>
      <c r="AH104" s="207">
        <f>IFERROR(AF104-AE104,0)</f>
        <v>0</v>
      </c>
      <c r="AI104" s="209" t="e">
        <f>#REF!</f>
        <v>#REF!</v>
      </c>
      <c r="AJ104" s="209" t="e">
        <f>#REF!</f>
        <v>#REF!</v>
      </c>
      <c r="AK104" s="209" t="e">
        <f>#REF!</f>
        <v>#REF!</v>
      </c>
      <c r="AL104" s="207" t="e">
        <f>AK104-AJ104</f>
        <v>#REF!</v>
      </c>
      <c r="AM104" s="208">
        <f>IFERROR(AK104/AI104-1,0)</f>
        <v>0</v>
      </c>
      <c r="AN104" s="209" t="e">
        <f>AJ104</f>
        <v>#REF!</v>
      </c>
      <c r="AO104" s="209" t="e">
        <f t="shared" si="14"/>
        <v>#REF!</v>
      </c>
      <c r="AP104" s="209" t="e">
        <f t="shared" si="14"/>
        <v>#REF!</v>
      </c>
      <c r="AQ104" s="209" t="e">
        <f t="shared" si="14"/>
        <v>#REF!</v>
      </c>
    </row>
    <row r="105" spans="4:43" ht="13.5" customHeight="1">
      <c r="D105" s="1">
        <v>18</v>
      </c>
      <c r="AB105" s="206" t="s">
        <v>1144</v>
      </c>
      <c r="AC105" s="217" t="s">
        <v>1145</v>
      </c>
      <c r="AD105" s="206" t="s">
        <v>619</v>
      </c>
      <c r="AE105" s="211" t="e">
        <f>AE103*AE104</f>
        <v>#REF!</v>
      </c>
      <c r="AF105" s="211" t="e">
        <f>AF103*AF104</f>
        <v>#REF!</v>
      </c>
      <c r="AG105" s="211" t="e">
        <f>AG103*AG104</f>
        <v>#REF!</v>
      </c>
      <c r="AH105" s="211">
        <f>IFERROR(AF105-AE105,0)</f>
        <v>0</v>
      </c>
      <c r="AI105" s="211" t="e">
        <f>AI103*AI104</f>
        <v>#REF!</v>
      </c>
      <c r="AJ105" s="211" t="e">
        <f>AJ103*AJ104</f>
        <v>#REF!</v>
      </c>
      <c r="AK105" s="211" t="e">
        <f>AK103*AK104</f>
        <v>#REF!</v>
      </c>
      <c r="AL105" s="211" t="e">
        <f>AK105-AJ105</f>
        <v>#REF!</v>
      </c>
      <c r="AM105" s="212">
        <f>IFERROR(AK105/AI105-1,0)</f>
        <v>0</v>
      </c>
      <c r="AN105" s="211" t="e">
        <f>AN103*AN104</f>
        <v>#REF!</v>
      </c>
      <c r="AO105" s="211" t="e">
        <f>AO103*AO104</f>
        <v>#REF!</v>
      </c>
      <c r="AP105" s="211" t="e">
        <f>AP103*AP104</f>
        <v>#REF!</v>
      </c>
      <c r="AQ105" s="211" t="e">
        <f>AQ103*AQ104</f>
        <v>#REF!</v>
      </c>
    </row>
    <row r="106" spans="4:43" ht="27" customHeight="1">
      <c r="D106" s="1">
        <v>36</v>
      </c>
      <c r="AB106" s="206" t="s">
        <v>1146</v>
      </c>
      <c r="AC106" s="217" t="s">
        <v>1011</v>
      </c>
      <c r="AD106" s="206" t="s">
        <v>619</v>
      </c>
      <c r="AE106" s="221" t="e">
        <f>#REF!</f>
        <v>#REF!</v>
      </c>
      <c r="AF106" s="221" t="e">
        <f>#REF!</f>
        <v>#REF!</v>
      </c>
      <c r="AG106" s="221" t="e">
        <f>#REF!</f>
        <v>#REF!</v>
      </c>
      <c r="AH106" s="222">
        <f>IFERROR(AF106-AE106,0)</f>
        <v>0</v>
      </c>
      <c r="AI106" s="221" t="e">
        <f>#REF!</f>
        <v>#REF!</v>
      </c>
      <c r="AJ106" s="221" t="e">
        <f>#REF!</f>
        <v>#REF!</v>
      </c>
      <c r="AK106" s="221" t="e">
        <f>#REF!</f>
        <v>#REF!</v>
      </c>
      <c r="AL106" s="211" t="e">
        <f>AK106-AJ106</f>
        <v>#REF!</v>
      </c>
      <c r="AM106" s="223">
        <f>IFERROR(AK106/AI106-1,0)</f>
        <v>0</v>
      </c>
      <c r="AN106" s="221" t="e">
        <f>#REF!</f>
        <v>#REF!</v>
      </c>
      <c r="AO106" s="221" t="e">
        <f>#REF!</f>
        <v>#REF!</v>
      </c>
      <c r="AP106" s="221" t="e">
        <f>#REF!</f>
        <v>#REF!</v>
      </c>
      <c r="AQ106" s="221" t="e">
        <f>#REF!</f>
        <v>#REF!</v>
      </c>
    </row>
    <row r="107" spans="4:43" ht="13.5" customHeight="1">
      <c r="D107" s="1">
        <v>18</v>
      </c>
      <c r="AB107" s="218">
        <v>10</v>
      </c>
      <c r="AC107" s="197" t="s">
        <v>1147</v>
      </c>
      <c r="AD107" s="198"/>
      <c r="AE107" s="198"/>
      <c r="AF107" s="198"/>
      <c r="AG107" s="198"/>
      <c r="AH107" s="198"/>
      <c r="AI107" s="198"/>
      <c r="AJ107" s="198"/>
      <c r="AK107" s="198"/>
      <c r="AL107" s="198"/>
      <c r="AM107" s="198"/>
      <c r="AN107" s="198"/>
      <c r="AO107" s="198"/>
      <c r="AP107" s="198"/>
      <c r="AQ107" s="199"/>
    </row>
    <row r="108" spans="4:43" ht="13.5" customHeight="1">
      <c r="D108" s="1">
        <v>18</v>
      </c>
      <c r="AB108" s="176" t="s">
        <v>1148</v>
      </c>
      <c r="AC108" s="192" t="s">
        <v>1024</v>
      </c>
      <c r="AD108" s="176" t="s">
        <v>1035</v>
      </c>
      <c r="AE108" s="209" t="e">
        <f>#REF!</f>
        <v>#REF!</v>
      </c>
      <c r="AF108" s="209" t="e">
        <f>#REF!</f>
        <v>#REF!</v>
      </c>
      <c r="AG108" s="209" t="e">
        <f>#REF!</f>
        <v>#REF!</v>
      </c>
      <c r="AH108" s="207">
        <f>IFERROR(AF108-AE108,0)</f>
        <v>0</v>
      </c>
      <c r="AI108" s="209" t="e">
        <f>#REF!</f>
        <v>#REF!</v>
      </c>
      <c r="AJ108" s="209" t="e">
        <f>#REF!</f>
        <v>#REF!</v>
      </c>
      <c r="AK108" s="209" t="e">
        <f>#REF!</f>
        <v>#REF!</v>
      </c>
      <c r="AL108" s="207" t="e">
        <f>AK108-AJ108</f>
        <v>#REF!</v>
      </c>
      <c r="AM108" s="203">
        <f>IFERROR(AK108/AI108-1,0)</f>
        <v>0</v>
      </c>
      <c r="AN108" s="209" t="e">
        <f>AJ108</f>
        <v>#REF!</v>
      </c>
      <c r="AO108" s="209" t="e">
        <f>AN108</f>
        <v>#REF!</v>
      </c>
      <c r="AP108" s="209" t="e">
        <f>AO108</f>
        <v>#REF!</v>
      </c>
      <c r="AQ108" s="209" t="e">
        <f>AP108</f>
        <v>#REF!</v>
      </c>
    </row>
    <row r="109" spans="4:43" ht="27" customHeight="1">
      <c r="D109" s="1">
        <v>36</v>
      </c>
      <c r="AB109" s="206" t="s">
        <v>1149</v>
      </c>
      <c r="AC109" s="217" t="s">
        <v>1150</v>
      </c>
      <c r="AD109" s="206" t="s">
        <v>619</v>
      </c>
      <c r="AE109" s="211" t="e">
        <f>AE108</f>
        <v>#REF!</v>
      </c>
      <c r="AF109" s="211" t="e">
        <f>AF108</f>
        <v>#REF!</v>
      </c>
      <c r="AG109" s="211" t="e">
        <f>AG108</f>
        <v>#REF!</v>
      </c>
      <c r="AH109" s="211">
        <f>IFERROR(AF109-AE109,0)</f>
        <v>0</v>
      </c>
      <c r="AI109" s="211" t="e">
        <f>AI108</f>
        <v>#REF!</v>
      </c>
      <c r="AJ109" s="211" t="e">
        <f>AJ108</f>
        <v>#REF!</v>
      </c>
      <c r="AK109" s="211" t="e">
        <f>AK108</f>
        <v>#REF!</v>
      </c>
      <c r="AL109" s="207" t="e">
        <f>AK109-AJ109</f>
        <v>#REF!</v>
      </c>
      <c r="AM109" s="223">
        <f>IFERROR(AK109/AI109-1,0)</f>
        <v>0</v>
      </c>
      <c r="AN109" s="211" t="e">
        <f>AN108</f>
        <v>#REF!</v>
      </c>
      <c r="AO109" s="211" t="e">
        <f>AO108</f>
        <v>#REF!</v>
      </c>
      <c r="AP109" s="211" t="e">
        <f>AP108</f>
        <v>#REF!</v>
      </c>
      <c r="AQ109" s="211" t="e">
        <f>AQ108</f>
        <v>#REF!</v>
      </c>
    </row>
    <row r="110" spans="4:43" ht="13.5" customHeight="1">
      <c r="D110" s="1">
        <v>18</v>
      </c>
      <c r="AB110" s="206" t="s">
        <v>1151</v>
      </c>
      <c r="AC110" s="196" t="s">
        <v>1152</v>
      </c>
      <c r="AD110" s="206" t="s">
        <v>619</v>
      </c>
      <c r="AE110" s="211" t="e">
        <f>SUM(AE105,AE100,AE109)</f>
        <v>#REF!</v>
      </c>
      <c r="AF110" s="211" t="e">
        <f>SUM(AF105,AF100,AF109)</f>
        <v>#REF!</v>
      </c>
      <c r="AG110" s="211" t="e">
        <f>SUM(AG105,AG100,AG109)</f>
        <v>#REF!</v>
      </c>
      <c r="AH110" s="211">
        <f>IFERROR(AF110-AE110,0)</f>
        <v>0</v>
      </c>
      <c r="AI110" s="211" t="e">
        <f>SUM(AI105,AI100,AI109)</f>
        <v>#REF!</v>
      </c>
      <c r="AJ110" s="211" t="e">
        <f>SUM(AJ105,AJ100,AJ106,AJ109,)</f>
        <v>#REF!</v>
      </c>
      <c r="AK110" s="211" t="e">
        <f>SUM(AK105,AK100,AK106,AK109,)</f>
        <v>#REF!</v>
      </c>
      <c r="AL110" s="211" t="e">
        <f>AK110-AJ110</f>
        <v>#REF!</v>
      </c>
      <c r="AM110" s="223">
        <f>IFERROR(AK110/AI110-1,0)</f>
        <v>0</v>
      </c>
      <c r="AN110" s="211" t="e">
        <f>SUM(AN105,AN100,AN109)</f>
        <v>#REF!</v>
      </c>
      <c r="AO110" s="211" t="e">
        <f>SUM(AO105,AO100,AO109)</f>
        <v>#REF!</v>
      </c>
      <c r="AP110" s="211" t="e">
        <f>SUM(AP105,AP100,AP109)</f>
        <v>#REF!</v>
      </c>
      <c r="AQ110" s="211" t="e">
        <f>SUM(AQ105,AQ100,AQ109)</f>
        <v>#REF!</v>
      </c>
    </row>
    <row r="111" spans="4:43" ht="13.5" customHeight="1">
      <c r="D111" s="1">
        <v>18</v>
      </c>
      <c r="AB111" s="206" t="s">
        <v>1153</v>
      </c>
      <c r="AC111" s="196" t="s">
        <v>1154</v>
      </c>
      <c r="AD111" s="206" t="s">
        <v>619</v>
      </c>
      <c r="AE111" s="211" t="e">
        <f>SUM(AE101,AE105,AE109)</f>
        <v>#REF!</v>
      </c>
      <c r="AF111" s="211" t="e">
        <f>SUM(AF101,AF105,AF109)</f>
        <v>#REF!</v>
      </c>
      <c r="AG111" s="211" t="e">
        <f>SUM(AG101,AG105,AG109)</f>
        <v>#REF!</v>
      </c>
      <c r="AH111" s="211">
        <f>IFERROR(AF111-AE111,0)</f>
        <v>0</v>
      </c>
      <c r="AI111" s="211" t="e">
        <f>SUM(AI101,AI105,AI109)</f>
        <v>#REF!</v>
      </c>
      <c r="AJ111" s="211" t="e">
        <f>SUM(AJ101,AJ105,AJ106,AJ109)</f>
        <v>#REF!</v>
      </c>
      <c r="AK111" s="211" t="e">
        <f>SUM(AK101,AK105,AK106,AK109)</f>
        <v>#REF!</v>
      </c>
      <c r="AL111" s="211" t="e">
        <f>AK111-AJ111</f>
        <v>#REF!</v>
      </c>
      <c r="AM111" s="223">
        <f>IFERROR(AK111/AI111-1,0)</f>
        <v>0</v>
      </c>
      <c r="AN111" s="211" t="e">
        <f>SUM(AN101,AN105,AN109)</f>
        <v>#REF!</v>
      </c>
      <c r="AO111" s="211" t="e">
        <f>SUM(AO101,AO105,AO109)</f>
        <v>#REF!</v>
      </c>
      <c r="AP111" s="211" t="e">
        <f>SUM(AP101,AP105,AP109)</f>
        <v>#REF!</v>
      </c>
      <c r="AQ111" s="211" t="e">
        <f>SUM(AQ101,AQ105,AQ109)</f>
        <v>#REF!</v>
      </c>
    </row>
    <row r="112" spans="4:43" ht="13.5" customHeight="1">
      <c r="D112" s="1">
        <v>18</v>
      </c>
    </row>
    <row r="113" spans="4:44" ht="13.5" customHeight="1">
      <c r="D113" s="1">
        <v>18</v>
      </c>
      <c r="AC113" s="25" t="s">
        <v>389</v>
      </c>
      <c r="AJ113" s="860"/>
      <c r="AK113" s="860"/>
      <c r="AL113" s="860"/>
      <c r="AM113" s="860"/>
      <c r="AN113" s="860"/>
      <c r="AO113" s="860"/>
      <c r="AP113" s="860"/>
      <c r="AQ113" s="860"/>
    </row>
    <row r="114" spans="4:44" ht="13.5" customHeight="1">
      <c r="D114" s="1">
        <v>18</v>
      </c>
      <c r="AJ114" s="852" t="s">
        <v>1155</v>
      </c>
      <c r="AK114" s="852"/>
      <c r="AL114" s="852"/>
      <c r="AM114" s="852"/>
      <c r="AN114" s="852"/>
      <c r="AO114" s="852"/>
      <c r="AP114" s="852"/>
      <c r="AQ114" s="852"/>
    </row>
    <row r="115" spans="4:44" ht="13.5" customHeight="1">
      <c r="D115" s="1">
        <v>18</v>
      </c>
      <c r="AC115" s="25" t="s">
        <v>398</v>
      </c>
      <c r="AJ115" s="860"/>
      <c r="AK115" s="860"/>
      <c r="AL115" s="860"/>
      <c r="AM115" s="860"/>
      <c r="AN115" s="860"/>
      <c r="AO115" s="860"/>
      <c r="AP115" s="860"/>
      <c r="AQ115" s="860"/>
    </row>
    <row r="116" spans="4:44" ht="13.5" customHeight="1">
      <c r="D116" s="1">
        <v>18</v>
      </c>
      <c r="AJ116" s="852" t="s">
        <v>1155</v>
      </c>
      <c r="AK116" s="852"/>
      <c r="AL116" s="852"/>
      <c r="AM116" s="852"/>
      <c r="AN116" s="852"/>
      <c r="AO116" s="852"/>
      <c r="AP116" s="852"/>
      <c r="AQ116" s="852"/>
    </row>
    <row r="117" spans="4:44" ht="11.25" hidden="1" customHeight="1">
      <c r="D117">
        <v>0</v>
      </c>
      <c r="AR117" t="s">
        <v>42</v>
      </c>
    </row>
  </sheetData>
  <sheetProtection insertRows="0" deleteColumns="0" deleteRows="0" sort="0" autoFilter="0"/>
  <mergeCells count="13">
    <mergeCell ref="AJ9:AQ9"/>
    <mergeCell ref="AJ113:AQ113"/>
    <mergeCell ref="AJ115:AQ115"/>
    <mergeCell ref="AJ114:AQ114"/>
    <mergeCell ref="AB21:AD21"/>
    <mergeCell ref="AJ116:AQ116"/>
    <mergeCell ref="AB22:AQ22"/>
    <mergeCell ref="AB24:AB25"/>
    <mergeCell ref="AC24:AC25"/>
    <mergeCell ref="AD24:AD25"/>
    <mergeCell ref="AE24:AH24"/>
    <mergeCell ref="AJ24:AM24"/>
    <mergeCell ref="AB58:AC5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E195"/>
  <sheetViews>
    <sheetView showGridLines="0" topLeftCell="AA20" workbookViewId="0">
      <selection activeCell="AA20" sqref="AA20"/>
    </sheetView>
  </sheetViews>
  <sheetFormatPr defaultRowHeight="11.25" customHeight="1"/>
  <cols>
    <col min="1" max="1" width="9.140625" hidden="1"/>
    <col min="2" max="2" width="8.85546875" hidden="1" customWidth="1"/>
    <col min="3" max="3" width="2.28515625" hidden="1" customWidth="1"/>
    <col min="4" max="4" width="5" hidden="1" customWidth="1"/>
    <col min="5" max="26" width="2.28515625" hidden="1" customWidth="1"/>
    <col min="27" max="27" width="6.85546875" customWidth="1"/>
    <col min="29" max="29" width="53.7109375" customWidth="1"/>
    <col min="30" max="56" width="14.85546875" customWidth="1"/>
    <col min="57" max="57" width="9.140625" hidden="1"/>
  </cols>
  <sheetData>
    <row r="1" spans="4:57" ht="11.25" hidden="1" customHeight="1"/>
    <row r="2" spans="4:57" ht="11.25" hidden="1" customHeight="1"/>
    <row r="3" spans="4:57" ht="11.25" hidden="1" customHeight="1"/>
    <row r="4" spans="4:57" ht="11.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64</v>
      </c>
      <c r="AC4" s="1">
        <v>376</v>
      </c>
      <c r="AD4" s="1">
        <v>104</v>
      </c>
      <c r="AE4" s="1">
        <v>104</v>
      </c>
      <c r="AF4" s="1">
        <v>104</v>
      </c>
      <c r="AG4" s="1">
        <v>104</v>
      </c>
      <c r="AH4" s="1">
        <v>104</v>
      </c>
      <c r="AI4" s="1">
        <v>104</v>
      </c>
      <c r="AJ4" s="1">
        <v>104</v>
      </c>
      <c r="AK4" s="1">
        <v>104</v>
      </c>
      <c r="AL4" s="1">
        <v>104</v>
      </c>
      <c r="AM4" s="1">
        <v>104</v>
      </c>
      <c r="AN4" s="1">
        <v>104</v>
      </c>
      <c r="AO4" s="1">
        <v>104</v>
      </c>
      <c r="AP4" s="1">
        <v>104</v>
      </c>
      <c r="AQ4" s="1">
        <v>104</v>
      </c>
      <c r="AR4" s="1">
        <v>104</v>
      </c>
      <c r="AS4" s="1">
        <v>104</v>
      </c>
      <c r="AT4" s="1">
        <v>104</v>
      </c>
      <c r="AU4" s="1">
        <v>104</v>
      </c>
      <c r="AV4" s="1">
        <v>104</v>
      </c>
      <c r="AW4" s="1">
        <v>104</v>
      </c>
      <c r="AX4" s="1">
        <v>104</v>
      </c>
      <c r="AY4" s="1">
        <v>104</v>
      </c>
      <c r="AZ4" s="1">
        <v>104</v>
      </c>
      <c r="BA4" s="1">
        <v>104</v>
      </c>
      <c r="BB4" s="1">
        <v>104</v>
      </c>
      <c r="BC4" s="1">
        <v>104</v>
      </c>
      <c r="BD4" s="1">
        <v>104</v>
      </c>
      <c r="BE4" s="2">
        <v>0</v>
      </c>
    </row>
    <row r="5" spans="4:57" ht="11.25" hidden="1" customHeight="1">
      <c r="D5" s="1">
        <v>40</v>
      </c>
    </row>
    <row r="6" spans="4:57" ht="11.25" hidden="1" customHeight="1">
      <c r="D6" s="1">
        <v>40</v>
      </c>
    </row>
    <row r="7" spans="4:57" ht="11.25" hidden="1" customHeight="1">
      <c r="D7" s="1">
        <v>40</v>
      </c>
    </row>
    <row r="8" spans="4:57" ht="11.25" hidden="1" customHeight="1">
      <c r="D8" s="1">
        <v>40</v>
      </c>
    </row>
    <row r="9" spans="4:57" ht="11.25" hidden="1" customHeight="1">
      <c r="D9" s="1">
        <v>40</v>
      </c>
    </row>
    <row r="10" spans="4:57" ht="11.25" hidden="1" customHeight="1">
      <c r="D10" s="1">
        <v>40</v>
      </c>
    </row>
    <row r="11" spans="4:57" ht="11.25" hidden="1" customHeight="1">
      <c r="D11" s="1">
        <v>40</v>
      </c>
    </row>
    <row r="12" spans="4:57" ht="11.25" hidden="1" customHeight="1">
      <c r="D12" s="1">
        <v>40</v>
      </c>
    </row>
    <row r="13" spans="4:57" ht="11.25" hidden="1" customHeight="1">
      <c r="D13" s="1">
        <v>40</v>
      </c>
    </row>
    <row r="14" spans="4:57" ht="11.25" hidden="1" customHeight="1">
      <c r="D14" s="1">
        <v>40</v>
      </c>
    </row>
    <row r="15" spans="4:57" ht="11.25" hidden="1" customHeight="1">
      <c r="D15" s="1">
        <v>40</v>
      </c>
    </row>
    <row r="16" spans="4:57" ht="11.25" hidden="1" customHeight="1">
      <c r="D16" s="1">
        <v>40</v>
      </c>
    </row>
    <row r="17" spans="4:46" ht="11.25" hidden="1" customHeight="1">
      <c r="D17" s="1">
        <v>40</v>
      </c>
    </row>
    <row r="18" spans="4:46" ht="11.25" hidden="1" customHeight="1">
      <c r="D18" s="1">
        <v>40</v>
      </c>
    </row>
    <row r="19" spans="4:46" ht="11.25" hidden="1" customHeight="1">
      <c r="D19" s="1">
        <v>40</v>
      </c>
    </row>
    <row r="20" spans="4:46" ht="30" customHeight="1">
      <c r="D20" s="1">
        <v>40</v>
      </c>
    </row>
    <row r="21" spans="4:46" ht="42" customHeight="1">
      <c r="D21" s="1">
        <v>56</v>
      </c>
      <c r="AB21" s="861" t="str">
        <f>ORG</f>
        <v>МУП "Горэлектросети"</v>
      </c>
      <c r="AC21" s="781"/>
      <c r="AD21" s="781"/>
    </row>
    <row r="22" spans="4:46" ht="13.5" customHeight="1">
      <c r="D22" s="2">
        <v>18</v>
      </c>
      <c r="AB22" s="873" t="str">
        <f>"Расчет НВВ, принимаемой при установлении тарифов на передачу электрической энергии по сетям "&amp;Титульный!AC27</f>
        <v>Расчет НВВ, принимаемой при установлении тарифов на передачу электрической энергии по сетям МУП "Горэлектросети"</v>
      </c>
      <c r="AC22" s="873"/>
      <c r="AD22" s="873"/>
      <c r="AE22" s="873"/>
      <c r="AF22" s="873"/>
      <c r="AG22" s="873"/>
      <c r="AH22" s="873"/>
      <c r="AI22" s="873"/>
      <c r="AJ22" s="873"/>
      <c r="AK22" s="873"/>
      <c r="AL22" s="873"/>
      <c r="AM22" s="873"/>
      <c r="AN22" s="873"/>
      <c r="AO22" s="873"/>
      <c r="AP22" s="873"/>
      <c r="AQ22" s="873"/>
      <c r="AR22" s="873"/>
      <c r="AS22" s="873"/>
    </row>
    <row r="23" spans="4:46" ht="13.5" customHeight="1">
      <c r="D23" s="2">
        <v>18</v>
      </c>
    </row>
    <row r="24" spans="4:46" ht="13.5" customHeight="1">
      <c r="D24" s="2">
        <v>18</v>
      </c>
      <c r="AC24" s="874" t="s">
        <v>1156</v>
      </c>
      <c r="AD24" s="874"/>
      <c r="AE24" s="874"/>
      <c r="AF24" s="874"/>
      <c r="AG24" s="874"/>
      <c r="AH24" s="874"/>
      <c r="AI24" s="874"/>
      <c r="AJ24" s="874"/>
    </row>
    <row r="25" spans="4:46" ht="13.5" customHeight="1">
      <c r="D25" s="2">
        <v>18</v>
      </c>
    </row>
    <row r="26" spans="4:46" ht="13.5" customHeight="1">
      <c r="D26" s="2">
        <v>18</v>
      </c>
      <c r="AC26" s="866" t="s">
        <v>756</v>
      </c>
      <c r="AD26" s="866" t="s">
        <v>1157</v>
      </c>
      <c r="AE26" s="866" t="s">
        <v>1158</v>
      </c>
      <c r="AF26" s="866"/>
      <c r="AG26" s="866" t="s">
        <v>771</v>
      </c>
      <c r="AH26" s="866"/>
      <c r="AI26" s="866"/>
      <c r="AJ26" s="866"/>
      <c r="AK26" s="866"/>
      <c r="AM26" s="866" t="s">
        <v>756</v>
      </c>
      <c r="AN26" s="866"/>
      <c r="AO26" s="867" t="s">
        <v>1157</v>
      </c>
      <c r="AP26" s="866" t="s">
        <v>771</v>
      </c>
      <c r="AQ26" s="866"/>
      <c r="AR26" s="866"/>
      <c r="AS26" s="866"/>
      <c r="AT26" s="866"/>
    </row>
    <row r="27" spans="4:46" ht="13.5" customHeight="1">
      <c r="D27" s="2">
        <v>18</v>
      </c>
      <c r="AC27" s="866"/>
      <c r="AD27" s="866"/>
      <c r="AE27" s="866"/>
      <c r="AF27" s="866"/>
      <c r="AG27" s="85" t="str">
        <f>PRD-6&amp;" г"</f>
        <v>2020 г</v>
      </c>
      <c r="AH27" s="85" t="str">
        <f>PRD-5&amp;" г"</f>
        <v>2021 г</v>
      </c>
      <c r="AI27" s="85" t="str">
        <f>PRD-4&amp;" г"</f>
        <v>2022 г</v>
      </c>
      <c r="AJ27" s="85" t="str">
        <f>PRD-3&amp;" г"</f>
        <v>2023 г</v>
      </c>
      <c r="AK27" s="85" t="str">
        <f>PRD-2&amp;" г"</f>
        <v>2024 г</v>
      </c>
      <c r="AM27" s="866"/>
      <c r="AN27" s="866"/>
      <c r="AO27" s="866"/>
      <c r="AP27" s="132" t="str">
        <f>PRD-6&amp;" г"</f>
        <v>2020 г</v>
      </c>
      <c r="AQ27" s="132" t="str">
        <f>PRD-5&amp;" г"</f>
        <v>2021 г</v>
      </c>
      <c r="AR27" s="132" t="str">
        <f>PRD-4&amp;" г"</f>
        <v>2022 г</v>
      </c>
      <c r="AS27" s="132" t="str">
        <f>PRD-3&amp;" г"</f>
        <v>2023 г</v>
      </c>
      <c r="AT27" s="132" t="str">
        <f>PRD-2&amp;" г"</f>
        <v>2024 г</v>
      </c>
    </row>
    <row r="28" spans="4:46" ht="13.5" customHeight="1">
      <c r="D28">
        <v>18</v>
      </c>
      <c r="AC28" s="224" t="s">
        <v>1159</v>
      </c>
      <c r="AD28" s="83" t="s">
        <v>1160</v>
      </c>
      <c r="AE28" s="866" t="s">
        <v>549</v>
      </c>
      <c r="AF28" s="866"/>
      <c r="AG28" s="225">
        <f>AH143</f>
        <v>0</v>
      </c>
      <c r="AH28" s="225">
        <f>AM143</f>
        <v>0</v>
      </c>
      <c r="AI28" s="225" t="e">
        <f>AR143</f>
        <v>#REF!</v>
      </c>
      <c r="AJ28" s="225" t="e">
        <f>AW143</f>
        <v>#REF!</v>
      </c>
      <c r="AK28" s="225" t="e">
        <f>'Расчет НВВ_74'!BB143</f>
        <v>#REF!</v>
      </c>
      <c r="AM28" s="866" t="s">
        <v>1161</v>
      </c>
      <c r="AN28" s="866"/>
      <c r="AO28" s="83" t="s">
        <v>1162</v>
      </c>
      <c r="AP28" s="225">
        <v>7.2599999999999997E-4</v>
      </c>
      <c r="AQ28" s="225">
        <v>7.2599999999999997E-4</v>
      </c>
      <c r="AR28" s="225">
        <v>7.2599999999999997E-4</v>
      </c>
      <c r="AS28" s="225">
        <v>7.2599999999999997E-4</v>
      </c>
      <c r="AT28" s="225">
        <v>7.2599999999999997E-4</v>
      </c>
    </row>
    <row r="29" spans="4:46" ht="13.5" customHeight="1">
      <c r="D29" s="2">
        <v>18</v>
      </c>
      <c r="AC29" s="224" t="s">
        <v>1163</v>
      </c>
      <c r="AD29" s="83"/>
      <c r="AE29" s="866" t="s">
        <v>549</v>
      </c>
      <c r="AF29" s="866"/>
      <c r="AG29" s="225" t="e">
        <f>#REF!</f>
        <v>#REF!</v>
      </c>
      <c r="AH29" s="225" t="e">
        <f>#REF!</f>
        <v>#REF!</v>
      </c>
      <c r="AI29" s="225" t="e">
        <f>#REF!</f>
        <v>#REF!</v>
      </c>
      <c r="AJ29" s="225" t="e">
        <f>#REF!</f>
        <v>#REF!</v>
      </c>
      <c r="AK29" s="225" t="e">
        <f>#REF!</f>
        <v>#REF!</v>
      </c>
      <c r="AM29" s="866"/>
      <c r="AN29" s="866"/>
      <c r="AO29" s="83" t="s">
        <v>1164</v>
      </c>
      <c r="AP29" s="225">
        <v>1.699E-3</v>
      </c>
      <c r="AQ29" s="225">
        <v>1.699E-3</v>
      </c>
      <c r="AR29" s="225">
        <v>1.699E-3</v>
      </c>
      <c r="AS29" s="225">
        <v>1.699E-3</v>
      </c>
      <c r="AT29" s="225">
        <v>1.699E-3</v>
      </c>
    </row>
    <row r="30" spans="4:46" ht="13.5" customHeight="1">
      <c r="D30" s="2">
        <v>18</v>
      </c>
      <c r="AC30" s="224" t="s">
        <v>1165</v>
      </c>
      <c r="AD30" s="83"/>
      <c r="AE30" s="866" t="s">
        <v>549</v>
      </c>
      <c r="AF30" s="866"/>
      <c r="AG30" s="225" t="e">
        <f>#REF!</f>
        <v>#REF!</v>
      </c>
      <c r="AH30" s="225" t="e">
        <f>#REF!</f>
        <v>#REF!</v>
      </c>
      <c r="AI30" s="225" t="e">
        <f>#REF!</f>
        <v>#REF!</v>
      </c>
      <c r="AJ30" s="225" t="e">
        <f>#REF!</f>
        <v>#REF!</v>
      </c>
      <c r="AK30" s="225" t="e">
        <f>#REF!</f>
        <v>#REF!</v>
      </c>
      <c r="AM30" s="866"/>
      <c r="AN30" s="866"/>
      <c r="AO30" s="83" t="s">
        <v>1166</v>
      </c>
      <c r="AP30" s="225">
        <v>1.34E-3</v>
      </c>
      <c r="AQ30" s="225">
        <v>1.34E-3</v>
      </c>
      <c r="AR30" s="225">
        <v>1.34E-3</v>
      </c>
      <c r="AS30" s="225">
        <v>1.34E-3</v>
      </c>
      <c r="AT30" s="225">
        <v>1.34E-3</v>
      </c>
    </row>
    <row r="31" spans="4:46" ht="13.5" customHeight="1">
      <c r="D31" s="2">
        <v>18</v>
      </c>
      <c r="AC31" s="224" t="s">
        <v>1167</v>
      </c>
      <c r="AD31" s="83"/>
      <c r="AE31" s="866" t="s">
        <v>549</v>
      </c>
      <c r="AF31" s="866"/>
      <c r="AG31" s="225" t="e">
        <f>#REF!</f>
        <v>#REF!</v>
      </c>
      <c r="AH31" s="225" t="e">
        <f>#REF!</f>
        <v>#REF!</v>
      </c>
      <c r="AI31" s="225" t="e">
        <f>#REF!</f>
        <v>#REF!</v>
      </c>
      <c r="AJ31" s="225" t="e">
        <f>#REF!</f>
        <v>#REF!</v>
      </c>
      <c r="AK31" s="225" t="e">
        <f>#REF!</f>
        <v>#REF!</v>
      </c>
      <c r="AM31" s="866"/>
      <c r="AN31" s="866"/>
      <c r="AO31" s="83" t="s">
        <v>1168</v>
      </c>
      <c r="AP31" s="225">
        <v>9.59E-4</v>
      </c>
      <c r="AQ31" s="225">
        <v>9.59E-4</v>
      </c>
      <c r="AR31" s="225">
        <v>9.59E-4</v>
      </c>
      <c r="AS31" s="225">
        <v>9.59E-4</v>
      </c>
      <c r="AT31" s="225">
        <v>9.59E-4</v>
      </c>
    </row>
    <row r="32" spans="4:46" ht="13.5" customHeight="1">
      <c r="D32" s="2">
        <v>18</v>
      </c>
      <c r="AC32" s="224" t="s">
        <v>1169</v>
      </c>
      <c r="AD32" s="83" t="s">
        <v>1170</v>
      </c>
      <c r="AE32" s="866" t="s">
        <v>1171</v>
      </c>
      <c r="AF32" s="866"/>
      <c r="AG32" s="226">
        <f>IFERROR(AG28*AP37*AP36/AG30,0)</f>
        <v>0</v>
      </c>
      <c r="AH32" s="226">
        <f>IFERROR(AH28*AQ37*AQ36/AH30,0)</f>
        <v>0</v>
      </c>
      <c r="AI32" s="226">
        <f>IFERROR(AI28*AR37*AR36/AI30,0)</f>
        <v>0</v>
      </c>
      <c r="AJ32" s="226">
        <f>IFERROR(AJ28*AR37*AR36/AJ30,0)</f>
        <v>0</v>
      </c>
      <c r="AK32" s="226">
        <f>IFERROR(AK28*AS37*AS36/AK30,0)</f>
        <v>0</v>
      </c>
      <c r="AM32" s="866"/>
      <c r="AN32" s="866"/>
      <c r="AO32" s="83" t="s">
        <v>1172</v>
      </c>
      <c r="AP32" s="225">
        <v>5.9569999999999998E-2</v>
      </c>
      <c r="AQ32" s="225">
        <v>5.9569999999999998E-2</v>
      </c>
      <c r="AR32" s="225">
        <v>5.9569999999999998E-2</v>
      </c>
      <c r="AS32" s="225">
        <v>5.9569999999999998E-2</v>
      </c>
      <c r="AT32" s="225">
        <v>5.9569999999999998E-2</v>
      </c>
    </row>
    <row r="33" spans="4:54" ht="13.5" customHeight="1">
      <c r="D33" s="2">
        <v>18</v>
      </c>
      <c r="AC33" s="224"/>
      <c r="AD33" s="83" t="s">
        <v>1173</v>
      </c>
      <c r="AE33" s="866" t="s">
        <v>1174</v>
      </c>
      <c r="AF33" s="866"/>
      <c r="AG33" s="226">
        <f>IFERROR(AG28*AP37*AP36/AG29,0)</f>
        <v>0</v>
      </c>
      <c r="AH33" s="226">
        <f>IFERROR(AH28*AQ37*AQ36/AH29,0)</f>
        <v>0</v>
      </c>
      <c r="AI33" s="226">
        <f>IFERROR(AI28*AR37*AR36/AI29,0)</f>
        <v>0</v>
      </c>
      <c r="AJ33" s="226">
        <f>IFERROR(AJ28*AR37*AR36/AJ29,0)</f>
        <v>0</v>
      </c>
      <c r="AK33" s="226">
        <f>IFERROR(AK28*AS37*AS36/AK29,0)</f>
        <v>0</v>
      </c>
      <c r="AM33" s="866"/>
      <c r="AN33" s="866"/>
      <c r="AO33" s="83" t="s">
        <v>1175</v>
      </c>
      <c r="AP33" s="225">
        <v>7.6671000000000003E-2</v>
      </c>
      <c r="AQ33" s="225">
        <v>7.6671000000000003E-2</v>
      </c>
      <c r="AR33" s="225">
        <v>7.6671000000000003E-2</v>
      </c>
      <c r="AS33" s="225">
        <v>7.6671000000000003E-2</v>
      </c>
      <c r="AT33" s="225">
        <v>7.6671000000000003E-2</v>
      </c>
    </row>
    <row r="34" spans="4:54" ht="13.5" customHeight="1">
      <c r="D34" s="2">
        <v>18</v>
      </c>
      <c r="AC34" s="224"/>
      <c r="AD34" s="83" t="s">
        <v>1176</v>
      </c>
      <c r="AE34" s="866" t="s">
        <v>1177</v>
      </c>
      <c r="AF34" s="866"/>
      <c r="AG34" s="226">
        <f>IFERROR(AG28*AP37*AP36/AG31,0)</f>
        <v>0</v>
      </c>
      <c r="AH34" s="226">
        <f>IFERROR(AH28*AQ37*AQ36/AH31,0)</f>
        <v>0</v>
      </c>
      <c r="AI34" s="226">
        <f>IFERROR(AI28*AR37*AR36/AI31,0)</f>
        <v>0</v>
      </c>
      <c r="AJ34" s="226">
        <f>IFERROR(AJ28*AR37*AR36/AJ31,0)</f>
        <v>0</v>
      </c>
      <c r="AK34" s="226">
        <f>IFERROR(AK28*AS37*AS36/AK31,0)</f>
        <v>0</v>
      </c>
      <c r="AM34" s="866"/>
      <c r="AN34" s="866"/>
      <c r="AO34" s="83" t="s">
        <v>1178</v>
      </c>
      <c r="AP34" s="225">
        <v>3.5620000000000001E-3</v>
      </c>
      <c r="AQ34" s="225">
        <v>3.5620000000000001E-3</v>
      </c>
      <c r="AR34" s="225">
        <v>3.5620000000000001E-3</v>
      </c>
      <c r="AS34" s="225">
        <v>3.5620000000000001E-3</v>
      </c>
      <c r="AT34" s="225">
        <v>3.5620000000000001E-3</v>
      </c>
    </row>
    <row r="35" spans="4:54" ht="13.5" customHeight="1">
      <c r="D35" s="2">
        <v>18</v>
      </c>
      <c r="AC35" s="224" t="s">
        <v>1179</v>
      </c>
      <c r="AD35" s="83" t="s">
        <v>1180</v>
      </c>
      <c r="AE35" s="866" t="s">
        <v>1181</v>
      </c>
      <c r="AF35" s="866"/>
      <c r="AG35" s="227">
        <f t="shared" ref="AG35:AI37" si="0">IF(AG32*AP28-AP32&lt;0,0,IF(AG32*AP28-AP32&gt;1,1,AG32*AP28-AP32))</f>
        <v>0</v>
      </c>
      <c r="AH35" s="227">
        <f t="shared" si="0"/>
        <v>0</v>
      </c>
      <c r="AI35" s="227">
        <f t="shared" si="0"/>
        <v>0</v>
      </c>
      <c r="AJ35" s="227">
        <f t="shared" ref="AJ35:AK37" si="1">IF(AJ32*AR28-AR32&lt;0,0,IF(AJ32*AR28-AR32&gt;1,1,AJ32*AR28-AR32))</f>
        <v>0</v>
      </c>
      <c r="AK35" s="227">
        <f t="shared" si="1"/>
        <v>0</v>
      </c>
      <c r="AM35" s="866"/>
      <c r="AN35" s="866"/>
      <c r="AO35" s="83" t="s">
        <v>1182</v>
      </c>
      <c r="AP35" s="225">
        <v>0.110179</v>
      </c>
      <c r="AQ35" s="225">
        <v>0.110179</v>
      </c>
      <c r="AR35" s="225">
        <v>0.110179</v>
      </c>
      <c r="AS35" s="225">
        <v>0.110179</v>
      </c>
      <c r="AT35" s="225">
        <v>0.110179</v>
      </c>
    </row>
    <row r="36" spans="4:54" ht="13.5" customHeight="1">
      <c r="D36" s="2">
        <v>18</v>
      </c>
      <c r="AC36" s="224"/>
      <c r="AD36" s="83" t="s">
        <v>1183</v>
      </c>
      <c r="AE36" s="866" t="s">
        <v>1184</v>
      </c>
      <c r="AF36" s="866"/>
      <c r="AG36" s="227">
        <f t="shared" si="0"/>
        <v>0</v>
      </c>
      <c r="AH36" s="227">
        <f t="shared" si="0"/>
        <v>0</v>
      </c>
      <c r="AI36" s="227">
        <f t="shared" si="0"/>
        <v>0</v>
      </c>
      <c r="AJ36" s="227">
        <f t="shared" si="1"/>
        <v>0</v>
      </c>
      <c r="AK36" s="227">
        <f t="shared" si="1"/>
        <v>0</v>
      </c>
      <c r="AM36" s="870" t="s">
        <v>1185</v>
      </c>
      <c r="AN36" s="870"/>
      <c r="AO36" s="870"/>
      <c r="AP36" s="225"/>
      <c r="AQ36" s="225">
        <f>1/(1.041*1.041*1.013)</f>
        <v>0.91093857989064309</v>
      </c>
      <c r="AR36" s="225">
        <f>1/(1.041*1.041*1.013)</f>
        <v>0.91093857989064309</v>
      </c>
      <c r="AS36" s="225">
        <f>1/(1.041*1.041*1.013)</f>
        <v>0.91093857989064309</v>
      </c>
      <c r="AT36" s="225">
        <f>1/(1.041*1.041*1.013)</f>
        <v>0.91093857989064309</v>
      </c>
    </row>
    <row r="37" spans="4:54" ht="13.5" customHeight="1">
      <c r="D37" s="2">
        <v>18</v>
      </c>
      <c r="AC37" s="224"/>
      <c r="AD37" s="83" t="s">
        <v>1186</v>
      </c>
      <c r="AE37" s="866" t="s">
        <v>1187</v>
      </c>
      <c r="AF37" s="866"/>
      <c r="AG37" s="227">
        <f t="shared" si="0"/>
        <v>0</v>
      </c>
      <c r="AH37" s="227">
        <f t="shared" si="0"/>
        <v>0</v>
      </c>
      <c r="AI37" s="227">
        <f t="shared" si="0"/>
        <v>0</v>
      </c>
      <c r="AJ37" s="227">
        <f t="shared" si="1"/>
        <v>0</v>
      </c>
      <c r="AK37" s="227">
        <f t="shared" si="1"/>
        <v>0</v>
      </c>
      <c r="AM37" s="870" t="s">
        <v>1188</v>
      </c>
      <c r="AN37" s="870"/>
      <c r="AO37" s="870"/>
      <c r="AP37" s="89">
        <v>1.67</v>
      </c>
      <c r="AQ37" s="89">
        <v>1.64</v>
      </c>
      <c r="AR37" s="89">
        <v>1.68</v>
      </c>
      <c r="AS37" s="89">
        <v>1.68</v>
      </c>
      <c r="AT37" s="89">
        <v>1.68</v>
      </c>
    </row>
    <row r="38" spans="4:54" ht="13.5" customHeight="1">
      <c r="D38" s="2">
        <v>18</v>
      </c>
      <c r="AC38" s="224" t="s">
        <v>1189</v>
      </c>
      <c r="AD38" s="83" t="s">
        <v>1190</v>
      </c>
      <c r="AE38" s="866" t="s">
        <v>1191</v>
      </c>
      <c r="AF38" s="866"/>
      <c r="AG38" s="228">
        <f>(AG37+AG36+AG35)/3</f>
        <v>0</v>
      </c>
      <c r="AH38" s="228">
        <f>(AH37+AH36+AH35)/3</f>
        <v>0</v>
      </c>
      <c r="AI38" s="228">
        <f>(AI37+AI36+AI35)/3</f>
        <v>0</v>
      </c>
      <c r="AJ38" s="228">
        <f>(AJ37+AJ36+AJ35)/3</f>
        <v>0</v>
      </c>
      <c r="AK38" s="228">
        <f>(AK37+AK36+AK35)/3</f>
        <v>0</v>
      </c>
    </row>
    <row r="39" spans="4:54" ht="24" customHeight="1">
      <c r="D39" s="2">
        <v>32</v>
      </c>
      <c r="AC39" s="224" t="s">
        <v>845</v>
      </c>
      <c r="AD39" s="866" t="s">
        <v>1192</v>
      </c>
      <c r="AE39" s="866" t="s">
        <v>1193</v>
      </c>
      <c r="AF39" s="866"/>
      <c r="AG39" s="872" t="e">
        <f>IF(OR(AM39="недостоверные данные",AK28="",AK28=0,AK29="",AK30="",AK31=""),0.1,MIN(0.07,(INT(AK38*10)+1)/100))</f>
        <v>#REF!</v>
      </c>
      <c r="AH39" s="872"/>
      <c r="AI39" s="872"/>
      <c r="AJ39" s="872"/>
      <c r="AK39" s="872"/>
      <c r="AM39" s="878"/>
      <c r="AN39" s="878"/>
    </row>
    <row r="40" spans="4:54" ht="21.75" customHeight="1">
      <c r="D40" s="2">
        <v>29</v>
      </c>
      <c r="AC40" s="224" t="s">
        <v>1194</v>
      </c>
      <c r="AD40" s="866"/>
      <c r="AE40" s="866"/>
      <c r="AF40" s="866"/>
      <c r="AG40" s="872" t="e">
        <f>IF(OR(AM40="недостоверные данные",AK28="",AK28=0,AK29="",AK30="",AK31=""),0.1,MIN(0.07,(INT(AK38*10)+1)/100))</f>
        <v>#REF!</v>
      </c>
      <c r="AH40" s="872"/>
      <c r="AI40" s="872"/>
      <c r="AJ40" s="872"/>
      <c r="AK40" s="872"/>
      <c r="AM40" s="878"/>
      <c r="AN40" s="878"/>
    </row>
    <row r="41" spans="4:54" ht="45.75" customHeight="1">
      <c r="D41" s="2">
        <v>61</v>
      </c>
      <c r="AC41" s="224" t="s">
        <v>1195</v>
      </c>
      <c r="AD41" s="83" t="s">
        <v>1196</v>
      </c>
      <c r="AE41" s="848" t="str">
        <f>"(R"&amp;PRD-5&amp;"-"&amp;PRD-6&amp;")+(R"&amp;PRD-4&amp;"-"&amp;PRD-5&amp;")+(R"&amp;PRD-3&amp;"-"&amp;PRD-4&amp;")+(R"&amp;PRD-2&amp;"-"&amp;PRD-3&amp;")/("&amp;PRD-1&amp;"-"&amp;PRD-5&amp;")"</f>
        <v>(R2021-2020)+(R2022-2021)+(R2023-2022)+(R2024-2023)/(2025-2021)</v>
      </c>
      <c r="AF41" s="848"/>
      <c r="AG41" s="871">
        <f>((AH38-AG38)+(AI38-AH38)+(AJ38-AI38)+(AK38-AJ38))/((PRD-1)-(PRD-5))</f>
        <v>0</v>
      </c>
      <c r="AH41" s="871"/>
      <c r="AI41" s="871"/>
      <c r="AJ41" s="871"/>
      <c r="AK41" s="871"/>
      <c r="AQ41" s="231" t="s">
        <v>1197</v>
      </c>
    </row>
    <row r="42" spans="4:54" ht="13.5" customHeight="1">
      <c r="D42" s="1">
        <v>18</v>
      </c>
    </row>
    <row r="43" spans="4:54" ht="13.5" customHeight="1">
      <c r="D43" s="1">
        <v>18</v>
      </c>
      <c r="AC43" s="880" t="str">
        <f>"Определение эффективного уровня операционных, подконтрольных расходов на "&amp;PRD&amp;" г"</f>
        <v>Определение эффективного уровня операционных, подконтрольных расходов на 2026 г</v>
      </c>
      <c r="AD43" s="781"/>
      <c r="AE43" s="781"/>
      <c r="AF43" s="781"/>
      <c r="AG43" s="781"/>
      <c r="AH43" s="781"/>
      <c r="AI43" s="781"/>
      <c r="AJ43" s="781"/>
      <c r="AK43" s="781"/>
      <c r="AL43" s="781"/>
      <c r="AM43" s="781"/>
      <c r="AZ43" s="232" t="s">
        <v>1198</v>
      </c>
    </row>
    <row r="44" spans="4:54" ht="27" customHeight="1">
      <c r="D44" s="1">
        <v>36</v>
      </c>
      <c r="AC44" s="84" t="str">
        <f>"Эффективный уровень ОПР "&amp;PRD&amp;", тыс. руб."</f>
        <v>Эффективный уровень ОПР 2026, тыс. руб.</v>
      </c>
      <c r="AD44" s="83" t="s">
        <v>1199</v>
      </c>
      <c r="AE44" s="848" t="e">
        <f>IF(AG41&lt;-AG40/100,"ОРЕХ"&amp;PRD-2&amp;"*(1-xn)^2* (1+ИКА"&amp;PRD-1&amp;")*(1+ИКА"&amp;PRD&amp;")*(1+ИПЦ"&amp;PRD-1&amp;"20)*(1+ ИПЦ"&amp;PRD&amp;")","(1-kn-xn)*ОРЕХ"&amp;PRD-2&amp;"*(1-xn)^2*(1+ИКА"&amp;PRD-1&amp;")*(1+ИКА"&amp;PRD&amp;")*(1+ИПЦ"&amp;PRD-1&amp;")*(1+ ИПЦ"&amp;PRD&amp;")")</f>
        <v>#REF!</v>
      </c>
      <c r="AF44" s="848"/>
      <c r="AG44" s="848"/>
      <c r="AH44" s="848"/>
      <c r="AI44" s="848"/>
      <c r="AJ44" s="848"/>
      <c r="AK44" s="848"/>
      <c r="AL44" s="83"/>
      <c r="AM44" s="233" t="e">
        <f>IF(AG41&lt;-AG40/100,1,1-AG41-AG40)*(1-AG40)*(1-AG40)*(1+AG50)*(1+AF50)*(1+AF54)*(1+AG54)*AK28</f>
        <v>#REF!</v>
      </c>
      <c r="AZ44" s="83" t="s">
        <v>1200</v>
      </c>
      <c r="BA44" s="83" t="s">
        <v>1201</v>
      </c>
      <c r="BB44" s="83" t="s">
        <v>1202</v>
      </c>
    </row>
    <row r="45" spans="4:54" ht="15.75" customHeight="1">
      <c r="D45" s="1">
        <v>21</v>
      </c>
      <c r="AC45" s="84" t="str">
        <f>"ОПР "&amp;PRD&amp;", тыс. руб."</f>
        <v>ОПР 2026, тыс. руб.</v>
      </c>
      <c r="AD45" s="83" t="s">
        <v>1203</v>
      </c>
      <c r="AE45" s="866" t="s">
        <v>1204</v>
      </c>
      <c r="AF45" s="866"/>
      <c r="AG45" s="866"/>
      <c r="AH45" s="866"/>
      <c r="AI45" s="866"/>
      <c r="AJ45" s="866"/>
      <c r="AK45" s="866"/>
      <c r="AL45" s="83"/>
      <c r="AM45" s="233">
        <f>AJ80</f>
        <v>0</v>
      </c>
      <c r="AZ45" s="234" t="e">
        <f>-0.3/0.07*AG40%+0.3*100%</f>
        <v>#REF!</v>
      </c>
      <c r="BA45" s="234" t="e">
        <f>AE80</f>
        <v>#REF!</v>
      </c>
      <c r="BB45" s="234">
        <f>IFERROR((AK28-BA45)/BA45,0)</f>
        <v>0</v>
      </c>
    </row>
    <row r="46" spans="4:54" ht="13.5" customHeight="1">
      <c r="D46" s="1">
        <v>18</v>
      </c>
      <c r="AC46" s="84" t="str">
        <f>"Базовый уровень ОПР "&amp;PRD&amp;", тыс. руб."</f>
        <v>Базовый уровень ОПР 2026, тыс. руб.</v>
      </c>
      <c r="AD46" s="83" t="s">
        <v>1205</v>
      </c>
      <c r="AE46" s="848" t="e">
        <f>IF(AQ46="","0,3*Эф.ОРЕХ + 0,7*ОПРму","В соответствии с приказом ФСТ от 17.02.12 № 98-э")</f>
        <v>#REF!</v>
      </c>
      <c r="AF46" s="848"/>
      <c r="AG46" s="848"/>
      <c r="AH46" s="848"/>
      <c r="AI46" s="848"/>
      <c r="AJ46" s="848"/>
      <c r="AK46" s="848"/>
      <c r="AL46" s="83"/>
      <c r="AM46" s="233" t="e">
        <f>IF(AQ46="",0.3*AM44+0.7*AM45,AM45)</f>
        <v>#REF!</v>
      </c>
      <c r="AQ46" s="235" t="e">
        <f>IF(BB45&gt;AZ45,CONCATENATE("факт ОПР"&amp;PRD-2&amp;" больше утв. на ",TEXT(((AK28-BA45)/BA45)*100,"# ##,00"),"%"),"")</f>
        <v>#REF!</v>
      </c>
      <c r="AZ46" s="231" t="s">
        <v>1197</v>
      </c>
    </row>
    <row r="47" spans="4:54" ht="13.5" customHeight="1">
      <c r="D47" s="1">
        <v>18</v>
      </c>
    </row>
    <row r="48" spans="4:54" ht="13.5" customHeight="1">
      <c r="D48" s="1">
        <v>18</v>
      </c>
      <c r="AC48" s="879" t="s">
        <v>1206</v>
      </c>
      <c r="AD48" s="781"/>
      <c r="AE48" s="781"/>
      <c r="AF48" s="781"/>
      <c r="AG48" s="781"/>
      <c r="AH48" s="781"/>
      <c r="AI48" s="781"/>
      <c r="AJ48" s="781"/>
      <c r="AK48" s="781"/>
      <c r="AL48" s="781"/>
      <c r="AM48" s="781"/>
    </row>
    <row r="49" spans="4:48" ht="13.5" customHeight="1">
      <c r="D49" s="1">
        <v>18</v>
      </c>
      <c r="AC49" s="224"/>
      <c r="AD49" s="224"/>
      <c r="AE49" s="85">
        <f>PRD-2</f>
        <v>2024</v>
      </c>
      <c r="AF49" s="85">
        <f>PRD-1</f>
        <v>2025</v>
      </c>
      <c r="AG49" s="85">
        <f>PRD</f>
        <v>2026</v>
      </c>
      <c r="AH49" s="85">
        <f>PRD+1</f>
        <v>2027</v>
      </c>
      <c r="AI49" s="85">
        <f>PRD+2</f>
        <v>2028</v>
      </c>
      <c r="AJ49" s="85">
        <f>PRD+3</f>
        <v>2029</v>
      </c>
      <c r="AK49" s="85">
        <f>PRD+4</f>
        <v>2030</v>
      </c>
    </row>
    <row r="50" spans="4:48" ht="13.5" customHeight="1">
      <c r="D50" s="1">
        <v>18</v>
      </c>
      <c r="AC50" s="224" t="s">
        <v>1207</v>
      </c>
      <c r="AD50" s="83" t="s">
        <v>633</v>
      </c>
      <c r="AE50" s="237" t="e">
        <f>#REF!</f>
        <v>#REF!</v>
      </c>
      <c r="AF50" s="237" t="e">
        <f>#REF!</f>
        <v>#REF!</v>
      </c>
      <c r="AG50" s="237" t="e">
        <f>#REF!</f>
        <v>#REF!</v>
      </c>
      <c r="AH50" s="237" t="e">
        <f>#REF!</f>
        <v>#REF!</v>
      </c>
      <c r="AI50" s="237" t="e">
        <f>#REF!</f>
        <v>#REF!</v>
      </c>
      <c r="AJ50" s="237" t="e">
        <f>#REF!</f>
        <v>#REF!</v>
      </c>
      <c r="AK50" s="237" t="e">
        <f>#REF!</f>
        <v>#REF!</v>
      </c>
    </row>
    <row r="51" spans="4:48" ht="13.5" customHeight="1">
      <c r="D51" s="1">
        <v>18</v>
      </c>
      <c r="AC51" s="224" t="s">
        <v>1208</v>
      </c>
      <c r="AD51" s="83" t="s">
        <v>633</v>
      </c>
      <c r="AE51" s="237" t="e">
        <f>#REF!</f>
        <v>#REF!</v>
      </c>
      <c r="AF51" s="237" t="e">
        <f>#REF!</f>
        <v>#REF!</v>
      </c>
      <c r="AG51" s="237" t="e">
        <f>#REF!</f>
        <v>#REF!</v>
      </c>
      <c r="AH51" s="237" t="e">
        <f>#REF!</f>
        <v>#REF!</v>
      </c>
      <c r="AI51" s="237" t="e">
        <f>#REF!</f>
        <v>#REF!</v>
      </c>
      <c r="AJ51" s="237" t="e">
        <f>#REF!</f>
        <v>#REF!</v>
      </c>
      <c r="AK51" s="237" t="e">
        <f>#REF!</f>
        <v>#REF!</v>
      </c>
    </row>
    <row r="52" spans="4:48" ht="13.5" customHeight="1">
      <c r="D52" s="1">
        <v>18</v>
      </c>
      <c r="AC52" s="224" t="s">
        <v>1209</v>
      </c>
      <c r="AD52" s="83" t="s">
        <v>696</v>
      </c>
      <c r="AE52" s="234" t="e">
        <f>#REF!</f>
        <v>#REF!</v>
      </c>
      <c r="AF52" s="234" t="e">
        <f>#REF!</f>
        <v>#REF!</v>
      </c>
      <c r="AG52" s="234" t="e">
        <f>#REF!</f>
        <v>#REF!</v>
      </c>
      <c r="AH52" s="234" t="e">
        <f>#REF!</f>
        <v>#REF!</v>
      </c>
      <c r="AI52" s="234" t="e">
        <f>#REF!</f>
        <v>#REF!</v>
      </c>
      <c r="AJ52" s="234" t="e">
        <f>#REF!</f>
        <v>#REF!</v>
      </c>
      <c r="AK52" s="234" t="e">
        <f>#REF!</f>
        <v>#REF!</v>
      </c>
    </row>
    <row r="53" spans="4:48" ht="13.5" customHeight="1">
      <c r="D53" s="1">
        <v>18</v>
      </c>
      <c r="AC53" s="224" t="s">
        <v>1210</v>
      </c>
      <c r="AD53" s="83" t="s">
        <v>696</v>
      </c>
      <c r="AE53" s="234" t="e">
        <f>#REF!</f>
        <v>#REF!</v>
      </c>
      <c r="AF53" s="234" t="e">
        <f>#REF!</f>
        <v>#REF!</v>
      </c>
      <c r="AG53" s="234" t="e">
        <f>#REF!</f>
        <v>#REF!</v>
      </c>
      <c r="AH53" s="234" t="e">
        <f>#REF!</f>
        <v>#REF!</v>
      </c>
      <c r="AI53" s="234" t="e">
        <f>#REF!</f>
        <v>#REF!</v>
      </c>
      <c r="AJ53" s="234" t="e">
        <f>#REF!</f>
        <v>#REF!</v>
      </c>
      <c r="AK53" s="234" t="e">
        <f>#REF!</f>
        <v>#REF!</v>
      </c>
    </row>
    <row r="54" spans="4:48" ht="13.5" customHeight="1">
      <c r="D54" s="1">
        <v>18</v>
      </c>
      <c r="AC54" s="224" t="s">
        <v>1211</v>
      </c>
      <c r="AD54" s="83" t="s">
        <v>633</v>
      </c>
      <c r="AE54" s="238"/>
      <c r="AF54" s="238"/>
      <c r="AG54" s="239">
        <f>IFERROR((AG53-AF53)/AF53*AG55,0)</f>
        <v>0</v>
      </c>
      <c r="AH54" s="239">
        <f>IFERROR((AH53-AG53)/AG53*AH55,0)</f>
        <v>0</v>
      </c>
      <c r="AI54" s="239">
        <f>IFERROR((AI53-AH53)/AH53*AI55,0)</f>
        <v>0</v>
      </c>
      <c r="AJ54" s="239">
        <f>IFERROR((AJ53-AH53)/AH53*AJ55,0)</f>
        <v>0</v>
      </c>
      <c r="AK54" s="239">
        <f>IFERROR((AK53-AJ53)/AJ53*AK55,0)</f>
        <v>0</v>
      </c>
    </row>
    <row r="55" spans="4:48" ht="27" customHeight="1">
      <c r="D55" s="1">
        <v>36</v>
      </c>
      <c r="AC55" s="224" t="s">
        <v>1212</v>
      </c>
      <c r="AD55" s="83" t="s">
        <v>633</v>
      </c>
      <c r="AE55" s="229">
        <v>0.75</v>
      </c>
      <c r="AF55" s="229">
        <v>0.75</v>
      </c>
      <c r="AG55" s="229">
        <v>0.75</v>
      </c>
      <c r="AH55" s="229">
        <v>0.75</v>
      </c>
      <c r="AI55" s="229">
        <v>0.75</v>
      </c>
      <c r="AJ55" s="229">
        <v>0.75</v>
      </c>
      <c r="AK55" s="229">
        <v>0.75</v>
      </c>
    </row>
    <row r="56" spans="4:48" ht="54" customHeight="1">
      <c r="D56" s="1">
        <v>72</v>
      </c>
      <c r="AC56" s="224" t="s">
        <v>1213</v>
      </c>
      <c r="AD56" s="83" t="s">
        <v>633</v>
      </c>
      <c r="AE56" s="237">
        <f>2%</f>
        <v>0.02</v>
      </c>
      <c r="AF56" s="237">
        <f>2%</f>
        <v>0.02</v>
      </c>
      <c r="AG56" s="237">
        <f>2%</f>
        <v>0.02</v>
      </c>
      <c r="AH56" s="237">
        <f>2%</f>
        <v>0.02</v>
      </c>
      <c r="AI56" s="237">
        <f>2%</f>
        <v>0.02</v>
      </c>
      <c r="AJ56" s="237">
        <f>2%</f>
        <v>0.02</v>
      </c>
      <c r="AK56" s="237">
        <f>2%</f>
        <v>0.02</v>
      </c>
    </row>
    <row r="57" spans="4:48" ht="13.5" customHeight="1">
      <c r="D57" s="1">
        <v>18</v>
      </c>
      <c r="AC57" s="224" t="s">
        <v>1214</v>
      </c>
      <c r="AD57" s="83"/>
      <c r="AE57" s="230" t="e">
        <f t="shared" ref="AE57:AK57" si="2">(1+AE50)*(1-AE51)*(1+AE54)</f>
        <v>#REF!</v>
      </c>
      <c r="AF57" s="230" t="e">
        <f t="shared" si="2"/>
        <v>#REF!</v>
      </c>
      <c r="AG57" s="230" t="e">
        <f t="shared" si="2"/>
        <v>#REF!</v>
      </c>
      <c r="AH57" s="230" t="e">
        <f t="shared" si="2"/>
        <v>#REF!</v>
      </c>
      <c r="AI57" s="230" t="e">
        <f t="shared" si="2"/>
        <v>#REF!</v>
      </c>
      <c r="AJ57" s="230" t="e">
        <f t="shared" si="2"/>
        <v>#REF!</v>
      </c>
      <c r="AK57" s="230" t="e">
        <f t="shared" si="2"/>
        <v>#REF!</v>
      </c>
    </row>
    <row r="58" spans="4:48" ht="13.5" customHeight="1">
      <c r="D58" s="1">
        <v>18</v>
      </c>
      <c r="AE58" s="240"/>
      <c r="AF58" s="240"/>
      <c r="AG58" s="240"/>
      <c r="AH58" s="240"/>
      <c r="AI58" s="240"/>
      <c r="AJ58" s="240"/>
      <c r="AK58" s="240"/>
    </row>
    <row r="59" spans="4:48" ht="27" customHeight="1">
      <c r="D59" s="1">
        <v>36</v>
      </c>
      <c r="AB59" s="241" t="s">
        <v>772</v>
      </c>
      <c r="AC59" s="174" t="s">
        <v>526</v>
      </c>
      <c r="AD59" s="174" t="s">
        <v>1040</v>
      </c>
      <c r="AE59" s="176" t="str">
        <f>PRD-2&amp;" план"</f>
        <v>2024 план</v>
      </c>
      <c r="AF59" s="176" t="str">
        <f>PRD-2&amp;" факт ТСО"</f>
        <v>2024 факт ТСО</v>
      </c>
      <c r="AG59" s="176" t="str">
        <f>PRD-2&amp;" факт МТРиЭ"</f>
        <v>2024 факт МТРиЭ</v>
      </c>
      <c r="AH59" s="176" t="str">
        <f>PRD-1&amp;" утв."</f>
        <v>2025 утв.</v>
      </c>
      <c r="AI59" s="176" t="str">
        <f>PRD&amp;" вариант орг-и"</f>
        <v>2026 вариант орг-и</v>
      </c>
      <c r="AJ59" s="176" t="str">
        <f>PRD&amp;" эк.об. Расходов"</f>
        <v>2026 эк.об. Расходов</v>
      </c>
      <c r="AK59" s="206" t="str">
        <f>PRD&amp;" утв."</f>
        <v>2026 утв.</v>
      </c>
      <c r="AL59" s="174" t="s">
        <v>1215</v>
      </c>
      <c r="AM59" s="176" t="str">
        <f>"Рост 
к "&amp;PRD-1&amp;" г., %"</f>
        <v>Рост 
к 2025 г., %</v>
      </c>
      <c r="AN59" s="176" t="str">
        <f>PRD&amp;" в котел"</f>
        <v>2026 в котел</v>
      </c>
      <c r="AO59" s="176">
        <f>PRD+1</f>
        <v>2027</v>
      </c>
      <c r="AP59" s="176">
        <f>PRD+2</f>
        <v>2028</v>
      </c>
      <c r="AQ59" s="176">
        <f>PRD+3</f>
        <v>2029</v>
      </c>
      <c r="AR59" s="176">
        <f>PRD+4</f>
        <v>2030</v>
      </c>
      <c r="AS59" s="174" t="s">
        <v>1216</v>
      </c>
    </row>
    <row r="60" spans="4:48" ht="13.5" customHeight="1">
      <c r="D60" s="1">
        <v>18</v>
      </c>
      <c r="AB60" s="174" t="s">
        <v>618</v>
      </c>
      <c r="AC60" s="5" t="s">
        <v>1217</v>
      </c>
      <c r="AD60" s="174" t="s">
        <v>1218</v>
      </c>
      <c r="AE60" s="207" t="e">
        <f t="shared" ref="AE60:AK60" si="3">AE61+AE62</f>
        <v>#REF!</v>
      </c>
      <c r="AF60" s="207" t="e">
        <f t="shared" si="3"/>
        <v>#REF!</v>
      </c>
      <c r="AG60" s="207" t="e">
        <f t="shared" si="3"/>
        <v>#REF!</v>
      </c>
      <c r="AH60" s="207" t="e">
        <f t="shared" si="3"/>
        <v>#REF!</v>
      </c>
      <c r="AI60" s="207" t="e">
        <f t="shared" si="3"/>
        <v>#REF!</v>
      </c>
      <c r="AJ60" s="207">
        <f t="shared" si="3"/>
        <v>0</v>
      </c>
      <c r="AK60" s="207" t="e">
        <f t="shared" si="3"/>
        <v>#REF!</v>
      </c>
      <c r="AL60" s="207" t="e">
        <f t="shared" ref="AL60:AL96" si="4">AK60-AI60</f>
        <v>#REF!</v>
      </c>
      <c r="AM60" s="207">
        <f t="shared" ref="AM60:AM96" si="5">IFERROR(IF(AND(AK60&lt;&gt;0,AH60=0),100,AK60/AH60*100-100),0)</f>
        <v>0</v>
      </c>
      <c r="AN60" s="207" t="e">
        <f>AN61+AN62</f>
        <v>#REF!</v>
      </c>
      <c r="AO60" s="207" t="e">
        <f>AO61+AO62</f>
        <v>#REF!</v>
      </c>
      <c r="AP60" s="207" t="e">
        <f>AP61+AP62</f>
        <v>#REF!</v>
      </c>
      <c r="AQ60" s="207" t="e">
        <f>AQ61+AQ62</f>
        <v>#REF!</v>
      </c>
      <c r="AR60" s="207" t="e">
        <f>AR61+AR62</f>
        <v>#REF!</v>
      </c>
      <c r="AS60" s="242"/>
    </row>
    <row r="61" spans="4:48" ht="27" customHeight="1">
      <c r="D61" s="1">
        <v>36</v>
      </c>
      <c r="AB61" s="174" t="s">
        <v>930</v>
      </c>
      <c r="AC61" s="5" t="s">
        <v>760</v>
      </c>
      <c r="AD61" s="174" t="s">
        <v>1218</v>
      </c>
      <c r="AE61" s="209" t="e">
        <f>#REF!</f>
        <v>#REF!</v>
      </c>
      <c r="AF61" s="209" t="e">
        <f>#REF!</f>
        <v>#REF!</v>
      </c>
      <c r="AG61" s="209" t="e">
        <f>#REF!</f>
        <v>#REF!</v>
      </c>
      <c r="AH61" s="209" t="e">
        <f>#REF!</f>
        <v>#REF!</v>
      </c>
      <c r="AI61" s="209" t="e">
        <f>#REF!</f>
        <v>#REF!</v>
      </c>
      <c r="AJ61" s="209"/>
      <c r="AK61" s="209" t="e">
        <f>#REF!</f>
        <v>#REF!</v>
      </c>
      <c r="AL61" s="207" t="e">
        <f t="shared" si="4"/>
        <v>#REF!</v>
      </c>
      <c r="AM61" s="207">
        <f t="shared" si="5"/>
        <v>0</v>
      </c>
      <c r="AN61" s="207" t="e">
        <f>AK61*$AI$110</f>
        <v>#REF!</v>
      </c>
      <c r="AO61" s="207" t="e">
        <f>IF(AK61="",,AK61*$AH$57)</f>
        <v>#REF!</v>
      </c>
      <c r="AP61" s="207" t="e">
        <f>IF(AO61="",,AO61*$AI$57)</f>
        <v>#REF!</v>
      </c>
      <c r="AQ61" s="243" t="e">
        <f>IF(AP61="",,AP61*$AJ$57)</f>
        <v>#REF!</v>
      </c>
      <c r="AR61" s="207" t="e">
        <f>IF(AQ61="",,AQ61*$AK$57)</f>
        <v>#REF!</v>
      </c>
      <c r="AS61" s="242"/>
    </row>
    <row r="62" spans="4:48" ht="41.25" customHeight="1">
      <c r="D62" s="1">
        <v>55</v>
      </c>
      <c r="AB62" s="174" t="s">
        <v>931</v>
      </c>
      <c r="AC62" s="5" t="s">
        <v>761</v>
      </c>
      <c r="AD62" s="174" t="s">
        <v>1218</v>
      </c>
      <c r="AE62" s="209" t="e">
        <f>#REF!</f>
        <v>#REF!</v>
      </c>
      <c r="AF62" s="209" t="e">
        <f>#REF!</f>
        <v>#REF!</v>
      </c>
      <c r="AG62" s="209" t="e">
        <f>#REF!</f>
        <v>#REF!</v>
      </c>
      <c r="AH62" s="209" t="e">
        <f>#REF!</f>
        <v>#REF!</v>
      </c>
      <c r="AI62" s="209" t="e">
        <f>#REF!</f>
        <v>#REF!</v>
      </c>
      <c r="AJ62" s="225"/>
      <c r="AK62" s="209" t="e">
        <f>#REF!</f>
        <v>#REF!</v>
      </c>
      <c r="AL62" s="207" t="e">
        <f t="shared" si="4"/>
        <v>#REF!</v>
      </c>
      <c r="AM62" s="207">
        <f t="shared" si="5"/>
        <v>0</v>
      </c>
      <c r="AN62" s="207" t="e">
        <f>AK62*$AI$110</f>
        <v>#REF!</v>
      </c>
      <c r="AO62" s="207" t="e">
        <f>IF(AK62="",,AK62*$AH$57)</f>
        <v>#REF!</v>
      </c>
      <c r="AP62" s="207" t="e">
        <f>IF(AO62="",,AO62*$AI$57)</f>
        <v>#REF!</v>
      </c>
      <c r="AQ62" s="243" t="e">
        <f>IF(AP62="",,AP62*$AJ$57)</f>
        <v>#REF!</v>
      </c>
      <c r="AR62" s="207" t="e">
        <f>IF(AQ62="",,AQ62*$AK$57)</f>
        <v>#REF!</v>
      </c>
      <c r="AS62" s="242"/>
      <c r="AU62" s="174" t="s">
        <v>1219</v>
      </c>
      <c r="AV62" s="174" t="s">
        <v>1220</v>
      </c>
    </row>
    <row r="63" spans="4:48" ht="27" customHeight="1">
      <c r="D63" s="1">
        <v>36</v>
      </c>
      <c r="AB63" s="174" t="s">
        <v>622</v>
      </c>
      <c r="AC63" s="5" t="s">
        <v>560</v>
      </c>
      <c r="AD63" s="174" t="s">
        <v>1218</v>
      </c>
      <c r="AE63" s="209" t="e">
        <f>#REF!</f>
        <v>#REF!</v>
      </c>
      <c r="AF63" s="209" t="e">
        <f>#REF!</f>
        <v>#REF!</v>
      </c>
      <c r="AG63" s="209" t="e">
        <f>#REF!</f>
        <v>#REF!</v>
      </c>
      <c r="AH63" s="209" t="e">
        <f>#REF!</f>
        <v>#REF!</v>
      </c>
      <c r="AI63" s="209" t="e">
        <f>#REF!</f>
        <v>#REF!</v>
      </c>
      <c r="AJ63" s="225"/>
      <c r="AK63" s="209" t="e">
        <f>#REF!</f>
        <v>#REF!</v>
      </c>
      <c r="AL63" s="207" t="e">
        <f t="shared" si="4"/>
        <v>#REF!</v>
      </c>
      <c r="AM63" s="207">
        <f t="shared" si="5"/>
        <v>0</v>
      </c>
      <c r="AN63" s="207" t="e">
        <f>AK63*$AI$110</f>
        <v>#REF!</v>
      </c>
      <c r="AO63" s="207" t="e">
        <f>IF(AK63="",,AK63*$AH$57)</f>
        <v>#REF!</v>
      </c>
      <c r="AP63" s="207" t="e">
        <f>IF(AO63="",,AO63*$AI$57)</f>
        <v>#REF!</v>
      </c>
      <c r="AQ63" s="243" t="e">
        <f>IF(AP63="",,AP63*$AJ$57)</f>
        <v>#REF!</v>
      </c>
      <c r="AR63" s="207" t="e">
        <f>IF(AQ63="",,AQ63*$AK$57)</f>
        <v>#REF!</v>
      </c>
      <c r="AS63" s="244" t="str">
        <f>AU63&amp;" чел., з/плата "&amp;AV63&amp;" т.руб/мес"</f>
        <v xml:space="preserve"> чел., з/плата  т.руб/мес</v>
      </c>
      <c r="AU63" s="245"/>
      <c r="AV63" s="245"/>
    </row>
    <row r="64" spans="4:48" ht="13.5" customHeight="1">
      <c r="D64" s="1">
        <v>18</v>
      </c>
      <c r="AB64" s="174" t="s">
        <v>625</v>
      </c>
      <c r="AC64" s="5" t="s">
        <v>1057</v>
      </c>
      <c r="AD64" s="174" t="s">
        <v>1218</v>
      </c>
      <c r="AE64" s="207" t="e">
        <f t="shared" ref="AE64:AK64" si="6">AE65+AE66+AE73+AE74+AE75+AE76+AE77</f>
        <v>#REF!</v>
      </c>
      <c r="AF64" s="207" t="e">
        <f t="shared" si="6"/>
        <v>#REF!</v>
      </c>
      <c r="AG64" s="207" t="e">
        <f t="shared" si="6"/>
        <v>#REF!</v>
      </c>
      <c r="AH64" s="207" t="e">
        <f t="shared" si="6"/>
        <v>#REF!</v>
      </c>
      <c r="AI64" s="207" t="e">
        <f t="shared" si="6"/>
        <v>#REF!</v>
      </c>
      <c r="AJ64" s="207">
        <f t="shared" si="6"/>
        <v>0</v>
      </c>
      <c r="AK64" s="207" t="e">
        <f t="shared" si="6"/>
        <v>#REF!</v>
      </c>
      <c r="AL64" s="207" t="e">
        <f t="shared" si="4"/>
        <v>#REF!</v>
      </c>
      <c r="AM64" s="207">
        <f t="shared" si="5"/>
        <v>0</v>
      </c>
      <c r="AN64" s="207" t="e">
        <f>AN65+AN66+AN73+AN74+AN75+AN76+AN77</f>
        <v>#REF!</v>
      </c>
      <c r="AO64" s="207" t="e">
        <f>AO65+AO66+AO73+AO74+AO75+AO76+AO77</f>
        <v>#REF!</v>
      </c>
      <c r="AP64" s="207" t="e">
        <f>AP65+AP66+AP73+AP74+AP75+AP76+AP77</f>
        <v>#REF!</v>
      </c>
      <c r="AQ64" s="207" t="e">
        <f>AQ65+AQ66+AQ73+AQ74+AQ75+AQ76+AQ77</f>
        <v>#REF!</v>
      </c>
      <c r="AR64" s="207" t="e">
        <f>AR65+AR66+AR73+AR74+AR75+AR76+AR77</f>
        <v>#REF!</v>
      </c>
      <c r="AS64" s="246"/>
    </row>
    <row r="65" spans="4:45" ht="13.5" customHeight="1">
      <c r="D65" s="1">
        <v>18</v>
      </c>
      <c r="AB65" s="174" t="s">
        <v>1221</v>
      </c>
      <c r="AC65" s="5" t="s">
        <v>1059</v>
      </c>
      <c r="AD65" s="174" t="s">
        <v>1218</v>
      </c>
      <c r="AE65" s="209" t="e">
        <f>#REF!</f>
        <v>#REF!</v>
      </c>
      <c r="AF65" s="209" t="e">
        <f>#REF!</f>
        <v>#REF!</v>
      </c>
      <c r="AG65" s="209" t="e">
        <f>#REF!</f>
        <v>#REF!</v>
      </c>
      <c r="AH65" s="209" t="e">
        <f>#REF!</f>
        <v>#REF!</v>
      </c>
      <c r="AI65" s="209" t="e">
        <f>#REF!</f>
        <v>#REF!</v>
      </c>
      <c r="AJ65" s="225"/>
      <c r="AK65" s="209" t="e">
        <f>#REF!</f>
        <v>#REF!</v>
      </c>
      <c r="AL65" s="207" t="e">
        <f t="shared" si="4"/>
        <v>#REF!</v>
      </c>
      <c r="AM65" s="207">
        <f t="shared" si="5"/>
        <v>0</v>
      </c>
      <c r="AN65" s="207" t="e">
        <f>AK65*$AI$110</f>
        <v>#REF!</v>
      </c>
      <c r="AO65" s="207" t="e">
        <f>IF(AK65="",,AK65*$AH$57)</f>
        <v>#REF!</v>
      </c>
      <c r="AP65" s="207" t="e">
        <f>IF(AO65="",,AO65*$AI$57)</f>
        <v>#REF!</v>
      </c>
      <c r="AQ65" s="243" t="e">
        <f>IF(AP65="",,AP65*$AJ$57)</f>
        <v>#REF!</v>
      </c>
      <c r="AR65" s="207" t="e">
        <f>IF(AQ65="",,AQ65*$AK$57)</f>
        <v>#REF!</v>
      </c>
      <c r="AS65" s="246"/>
    </row>
    <row r="66" spans="4:45" ht="13.5" customHeight="1">
      <c r="D66" s="1">
        <v>18</v>
      </c>
      <c r="AB66" s="174" t="s">
        <v>1222</v>
      </c>
      <c r="AC66" s="5" t="s">
        <v>964</v>
      </c>
      <c r="AD66" s="174" t="s">
        <v>1218</v>
      </c>
      <c r="AE66" s="207" t="e">
        <f t="shared" ref="AE66:AK66" si="7">AE67+AE68+AE69+AE70+AE71+AE72</f>
        <v>#REF!</v>
      </c>
      <c r="AF66" s="207" t="e">
        <f t="shared" si="7"/>
        <v>#REF!</v>
      </c>
      <c r="AG66" s="207" t="e">
        <f t="shared" si="7"/>
        <v>#REF!</v>
      </c>
      <c r="AH66" s="207" t="e">
        <f t="shared" si="7"/>
        <v>#REF!</v>
      </c>
      <c r="AI66" s="207" t="e">
        <f t="shared" si="7"/>
        <v>#REF!</v>
      </c>
      <c r="AJ66" s="207">
        <f t="shared" si="7"/>
        <v>0</v>
      </c>
      <c r="AK66" s="207" t="e">
        <f t="shared" si="7"/>
        <v>#REF!</v>
      </c>
      <c r="AL66" s="207" t="e">
        <f t="shared" si="4"/>
        <v>#REF!</v>
      </c>
      <c r="AM66" s="207">
        <f t="shared" si="5"/>
        <v>0</v>
      </c>
      <c r="AN66" s="207" t="e">
        <f>AN67+AN68+AN69+AN70+AN71+AN72</f>
        <v>#REF!</v>
      </c>
      <c r="AO66" s="207" t="e">
        <f>AO67+AO68+AO69+AO70+AO71+AO72</f>
        <v>#REF!</v>
      </c>
      <c r="AP66" s="207" t="e">
        <f>AP67+AP68+AP69+AP70+AP71+AP72</f>
        <v>#REF!</v>
      </c>
      <c r="AQ66" s="207" t="e">
        <f>AQ67+AQ68+AQ69+AQ70+AQ71+AQ72</f>
        <v>#REF!</v>
      </c>
      <c r="AR66" s="207" t="e">
        <f>AR67+AR68+AR69+AR70+AR71+AR72</f>
        <v>#REF!</v>
      </c>
      <c r="AS66" s="246"/>
    </row>
    <row r="67" spans="4:45" ht="13.5" customHeight="1">
      <c r="D67" s="1">
        <v>18</v>
      </c>
      <c r="AB67" s="174" t="s">
        <v>1223</v>
      </c>
      <c r="AC67" s="5" t="s">
        <v>1224</v>
      </c>
      <c r="AD67" s="174" t="s">
        <v>1218</v>
      </c>
      <c r="AE67" s="209" t="e">
        <f>#REF!</f>
        <v>#REF!</v>
      </c>
      <c r="AF67" s="209" t="e">
        <f>#REF!</f>
        <v>#REF!</v>
      </c>
      <c r="AG67" s="209" t="e">
        <f>#REF!</f>
        <v>#REF!</v>
      </c>
      <c r="AH67" s="209" t="e">
        <f>#REF!</f>
        <v>#REF!</v>
      </c>
      <c r="AI67" s="209" t="e">
        <f>#REF!</f>
        <v>#REF!</v>
      </c>
      <c r="AJ67" s="209"/>
      <c r="AK67" s="209" t="e">
        <f>#REF!</f>
        <v>#REF!</v>
      </c>
      <c r="AL67" s="207" t="e">
        <f t="shared" si="4"/>
        <v>#REF!</v>
      </c>
      <c r="AM67" s="207">
        <f t="shared" si="5"/>
        <v>0</v>
      </c>
      <c r="AN67" s="207" t="e">
        <f t="shared" ref="AN67:AN79" si="8">AK67*$AI$110</f>
        <v>#REF!</v>
      </c>
      <c r="AO67" s="207" t="e">
        <f t="shared" ref="AO67:AO79" si="9">IF(AK67="",,AK67*$AH$57)</f>
        <v>#REF!</v>
      </c>
      <c r="AP67" s="207" t="e">
        <f t="shared" ref="AP67:AP79" si="10">IF(AO67="",,AO67*$AI$57)</f>
        <v>#REF!</v>
      </c>
      <c r="AQ67" s="243" t="e">
        <f t="shared" ref="AQ67:AQ79" si="11">IF(AP67="",,AP67*$AJ$57)</f>
        <v>#REF!</v>
      </c>
      <c r="AR67" s="207" t="e">
        <f t="shared" ref="AR67:AR79" si="12">IF(AQ67="",,AQ67*$AK$57)</f>
        <v>#REF!</v>
      </c>
      <c r="AS67" s="246"/>
    </row>
    <row r="68" spans="4:45" ht="27" customHeight="1">
      <c r="D68" s="1">
        <v>36</v>
      </c>
      <c r="AB68" s="174" t="s">
        <v>1225</v>
      </c>
      <c r="AC68" s="5" t="s">
        <v>1064</v>
      </c>
      <c r="AD68" s="174" t="s">
        <v>1218</v>
      </c>
      <c r="AE68" s="209" t="e">
        <f>#REF!</f>
        <v>#REF!</v>
      </c>
      <c r="AF68" s="209" t="e">
        <f>#REF!</f>
        <v>#REF!</v>
      </c>
      <c r="AG68" s="209" t="e">
        <f>#REF!</f>
        <v>#REF!</v>
      </c>
      <c r="AH68" s="209" t="e">
        <f>#REF!</f>
        <v>#REF!</v>
      </c>
      <c r="AI68" s="209" t="e">
        <f>#REF!</f>
        <v>#REF!</v>
      </c>
      <c r="AJ68" s="209"/>
      <c r="AK68" s="209" t="e">
        <f>#REF!</f>
        <v>#REF!</v>
      </c>
      <c r="AL68" s="207" t="e">
        <f t="shared" si="4"/>
        <v>#REF!</v>
      </c>
      <c r="AM68" s="207">
        <f t="shared" si="5"/>
        <v>0</v>
      </c>
      <c r="AN68" s="207" t="e">
        <f t="shared" si="8"/>
        <v>#REF!</v>
      </c>
      <c r="AO68" s="207" t="e">
        <f t="shared" si="9"/>
        <v>#REF!</v>
      </c>
      <c r="AP68" s="207" t="e">
        <f t="shared" si="10"/>
        <v>#REF!</v>
      </c>
      <c r="AQ68" s="243" t="e">
        <f t="shared" si="11"/>
        <v>#REF!</v>
      </c>
      <c r="AR68" s="207" t="e">
        <f t="shared" si="12"/>
        <v>#REF!</v>
      </c>
      <c r="AS68" s="246"/>
    </row>
    <row r="69" spans="4:45" ht="13.5" customHeight="1">
      <c r="D69" s="1">
        <v>18</v>
      </c>
      <c r="AB69" s="174" t="s">
        <v>1226</v>
      </c>
      <c r="AC69" s="5" t="s">
        <v>1066</v>
      </c>
      <c r="AD69" s="174" t="s">
        <v>1218</v>
      </c>
      <c r="AE69" s="209" t="e">
        <f>#REF!</f>
        <v>#REF!</v>
      </c>
      <c r="AF69" s="209" t="e">
        <f>#REF!</f>
        <v>#REF!</v>
      </c>
      <c r="AG69" s="209" t="e">
        <f>#REF!</f>
        <v>#REF!</v>
      </c>
      <c r="AH69" s="209" t="e">
        <f>#REF!</f>
        <v>#REF!</v>
      </c>
      <c r="AI69" s="209" t="e">
        <f>#REF!</f>
        <v>#REF!</v>
      </c>
      <c r="AJ69" s="209"/>
      <c r="AK69" s="209" t="e">
        <f>#REF!</f>
        <v>#REF!</v>
      </c>
      <c r="AL69" s="207" t="e">
        <f t="shared" si="4"/>
        <v>#REF!</v>
      </c>
      <c r="AM69" s="207">
        <f t="shared" si="5"/>
        <v>0</v>
      </c>
      <c r="AN69" s="207" t="e">
        <f t="shared" si="8"/>
        <v>#REF!</v>
      </c>
      <c r="AO69" s="207" t="e">
        <f t="shared" si="9"/>
        <v>#REF!</v>
      </c>
      <c r="AP69" s="207" t="e">
        <f t="shared" si="10"/>
        <v>#REF!</v>
      </c>
      <c r="AQ69" s="243" t="e">
        <f t="shared" si="11"/>
        <v>#REF!</v>
      </c>
      <c r="AR69" s="207" t="e">
        <f t="shared" si="12"/>
        <v>#REF!</v>
      </c>
      <c r="AS69" s="246"/>
    </row>
    <row r="70" spans="4:45" ht="13.5" customHeight="1">
      <c r="D70" s="1">
        <v>18</v>
      </c>
      <c r="AB70" s="174" t="s">
        <v>1227</v>
      </c>
      <c r="AC70" s="5" t="s">
        <v>1068</v>
      </c>
      <c r="AD70" s="174" t="s">
        <v>1218</v>
      </c>
      <c r="AE70" s="209" t="e">
        <f>#REF!</f>
        <v>#REF!</v>
      </c>
      <c r="AF70" s="209" t="e">
        <f>#REF!</f>
        <v>#REF!</v>
      </c>
      <c r="AG70" s="209" t="e">
        <f>#REF!</f>
        <v>#REF!</v>
      </c>
      <c r="AH70" s="209" t="e">
        <f>#REF!</f>
        <v>#REF!</v>
      </c>
      <c r="AI70" s="209" t="e">
        <f>#REF!</f>
        <v>#REF!</v>
      </c>
      <c r="AJ70" s="209"/>
      <c r="AK70" s="209" t="e">
        <f>#REF!</f>
        <v>#REF!</v>
      </c>
      <c r="AL70" s="207" t="e">
        <f t="shared" si="4"/>
        <v>#REF!</v>
      </c>
      <c r="AM70" s="207">
        <f t="shared" si="5"/>
        <v>0</v>
      </c>
      <c r="AN70" s="207" t="e">
        <f t="shared" si="8"/>
        <v>#REF!</v>
      </c>
      <c r="AO70" s="207" t="e">
        <f t="shared" si="9"/>
        <v>#REF!</v>
      </c>
      <c r="AP70" s="207" t="e">
        <f t="shared" si="10"/>
        <v>#REF!</v>
      </c>
      <c r="AQ70" s="243" t="e">
        <f t="shared" si="11"/>
        <v>#REF!</v>
      </c>
      <c r="AR70" s="207" t="e">
        <f t="shared" si="12"/>
        <v>#REF!</v>
      </c>
      <c r="AS70" s="246"/>
    </row>
    <row r="71" spans="4:45" ht="13.5" customHeight="1">
      <c r="D71" s="1">
        <v>18</v>
      </c>
      <c r="AB71" s="174" t="s">
        <v>1228</v>
      </c>
      <c r="AC71" s="5" t="s">
        <v>1070</v>
      </c>
      <c r="AD71" s="174" t="s">
        <v>1218</v>
      </c>
      <c r="AE71" s="209" t="e">
        <f>#REF!</f>
        <v>#REF!</v>
      </c>
      <c r="AF71" s="209" t="e">
        <f>#REF!</f>
        <v>#REF!</v>
      </c>
      <c r="AG71" s="209" t="e">
        <f>#REF!</f>
        <v>#REF!</v>
      </c>
      <c r="AH71" s="209" t="e">
        <f>#REF!</f>
        <v>#REF!</v>
      </c>
      <c r="AI71" s="209" t="e">
        <f>#REF!</f>
        <v>#REF!</v>
      </c>
      <c r="AJ71" s="209"/>
      <c r="AK71" s="209" t="e">
        <f>#REF!</f>
        <v>#REF!</v>
      </c>
      <c r="AL71" s="207" t="e">
        <f t="shared" si="4"/>
        <v>#REF!</v>
      </c>
      <c r="AM71" s="207">
        <f t="shared" si="5"/>
        <v>0</v>
      </c>
      <c r="AN71" s="207" t="e">
        <f t="shared" si="8"/>
        <v>#REF!</v>
      </c>
      <c r="AO71" s="207" t="e">
        <f t="shared" si="9"/>
        <v>#REF!</v>
      </c>
      <c r="AP71" s="207" t="e">
        <f t="shared" si="10"/>
        <v>#REF!</v>
      </c>
      <c r="AQ71" s="243" t="e">
        <f t="shared" si="11"/>
        <v>#REF!</v>
      </c>
      <c r="AR71" s="207" t="e">
        <f t="shared" si="12"/>
        <v>#REF!</v>
      </c>
      <c r="AS71" s="246"/>
    </row>
    <row r="72" spans="4:45" ht="13.5" customHeight="1">
      <c r="D72" s="1">
        <v>18</v>
      </c>
      <c r="AB72" s="174" t="s">
        <v>1229</v>
      </c>
      <c r="AC72" s="5" t="s">
        <v>1072</v>
      </c>
      <c r="AD72" s="174" t="s">
        <v>1218</v>
      </c>
      <c r="AE72" s="209" t="e">
        <f>#REF!</f>
        <v>#REF!</v>
      </c>
      <c r="AF72" s="209" t="e">
        <f>#REF!</f>
        <v>#REF!</v>
      </c>
      <c r="AG72" s="209" t="e">
        <f>#REF!</f>
        <v>#REF!</v>
      </c>
      <c r="AH72" s="209" t="e">
        <f>#REF!</f>
        <v>#REF!</v>
      </c>
      <c r="AI72" s="209" t="e">
        <f>#REF!</f>
        <v>#REF!</v>
      </c>
      <c r="AJ72" s="209"/>
      <c r="AK72" s="209" t="e">
        <f>#REF!</f>
        <v>#REF!</v>
      </c>
      <c r="AL72" s="207" t="e">
        <f t="shared" si="4"/>
        <v>#REF!</v>
      </c>
      <c r="AM72" s="207">
        <f t="shared" si="5"/>
        <v>0</v>
      </c>
      <c r="AN72" s="207" t="e">
        <f t="shared" si="8"/>
        <v>#REF!</v>
      </c>
      <c r="AO72" s="207" t="e">
        <f t="shared" si="9"/>
        <v>#REF!</v>
      </c>
      <c r="AP72" s="207" t="e">
        <f t="shared" si="10"/>
        <v>#REF!</v>
      </c>
      <c r="AQ72" s="243" t="e">
        <f t="shared" si="11"/>
        <v>#REF!</v>
      </c>
      <c r="AR72" s="207" t="e">
        <f t="shared" si="12"/>
        <v>#REF!</v>
      </c>
      <c r="AS72" s="246"/>
    </row>
    <row r="73" spans="4:45" ht="13.5" customHeight="1">
      <c r="D73" s="1">
        <v>18</v>
      </c>
      <c r="AB73" s="174" t="s">
        <v>1230</v>
      </c>
      <c r="AC73" s="5" t="s">
        <v>970</v>
      </c>
      <c r="AD73" s="174" t="s">
        <v>1218</v>
      </c>
      <c r="AE73" s="209" t="e">
        <f>#REF!</f>
        <v>#REF!</v>
      </c>
      <c r="AF73" s="209" t="e">
        <f>#REF!</f>
        <v>#REF!</v>
      </c>
      <c r="AG73" s="209" t="e">
        <f>#REF!</f>
        <v>#REF!</v>
      </c>
      <c r="AH73" s="209" t="e">
        <f>#REF!</f>
        <v>#REF!</v>
      </c>
      <c r="AI73" s="209" t="e">
        <f>#REF!</f>
        <v>#REF!</v>
      </c>
      <c r="AJ73" s="209"/>
      <c r="AK73" s="209" t="e">
        <f>#REF!</f>
        <v>#REF!</v>
      </c>
      <c r="AL73" s="207" t="e">
        <f t="shared" si="4"/>
        <v>#REF!</v>
      </c>
      <c r="AM73" s="207">
        <f t="shared" si="5"/>
        <v>0</v>
      </c>
      <c r="AN73" s="207" t="e">
        <f t="shared" si="8"/>
        <v>#REF!</v>
      </c>
      <c r="AO73" s="207" t="e">
        <f t="shared" si="9"/>
        <v>#REF!</v>
      </c>
      <c r="AP73" s="207" t="e">
        <f t="shared" si="10"/>
        <v>#REF!</v>
      </c>
      <c r="AQ73" s="243" t="e">
        <f t="shared" si="11"/>
        <v>#REF!</v>
      </c>
      <c r="AR73" s="207" t="e">
        <f t="shared" si="12"/>
        <v>#REF!</v>
      </c>
      <c r="AS73" s="246"/>
    </row>
    <row r="74" spans="4:45" ht="13.5" customHeight="1">
      <c r="D74" s="1">
        <v>18</v>
      </c>
      <c r="AB74" s="174" t="s">
        <v>1231</v>
      </c>
      <c r="AC74" s="5" t="s">
        <v>1075</v>
      </c>
      <c r="AD74" s="174" t="s">
        <v>1218</v>
      </c>
      <c r="AE74" s="209" t="e">
        <f>#REF!</f>
        <v>#REF!</v>
      </c>
      <c r="AF74" s="209" t="e">
        <f>#REF!</f>
        <v>#REF!</v>
      </c>
      <c r="AG74" s="209" t="e">
        <f>#REF!</f>
        <v>#REF!</v>
      </c>
      <c r="AH74" s="209" t="e">
        <f>#REF!</f>
        <v>#REF!</v>
      </c>
      <c r="AI74" s="209" t="e">
        <f>#REF!</f>
        <v>#REF!</v>
      </c>
      <c r="AJ74" s="209"/>
      <c r="AK74" s="209" t="e">
        <f>#REF!</f>
        <v>#REF!</v>
      </c>
      <c r="AL74" s="207" t="e">
        <f t="shared" si="4"/>
        <v>#REF!</v>
      </c>
      <c r="AM74" s="207">
        <f t="shared" si="5"/>
        <v>0</v>
      </c>
      <c r="AN74" s="207" t="e">
        <f t="shared" si="8"/>
        <v>#REF!</v>
      </c>
      <c r="AO74" s="207" t="e">
        <f t="shared" si="9"/>
        <v>#REF!</v>
      </c>
      <c r="AP74" s="207" t="e">
        <f t="shared" si="10"/>
        <v>#REF!</v>
      </c>
      <c r="AQ74" s="243" t="e">
        <f t="shared" si="11"/>
        <v>#REF!</v>
      </c>
      <c r="AR74" s="207" t="e">
        <f t="shared" si="12"/>
        <v>#REF!</v>
      </c>
      <c r="AS74" s="246"/>
    </row>
    <row r="75" spans="4:45" ht="27" customHeight="1">
      <c r="D75" s="1">
        <v>36</v>
      </c>
      <c r="AB75" s="174" t="s">
        <v>1232</v>
      </c>
      <c r="AC75" s="5" t="s">
        <v>972</v>
      </c>
      <c r="AD75" s="174" t="s">
        <v>1218</v>
      </c>
      <c r="AE75" s="209" t="e">
        <f>#REF!</f>
        <v>#REF!</v>
      </c>
      <c r="AF75" s="209" t="e">
        <f>#REF!</f>
        <v>#REF!</v>
      </c>
      <c r="AG75" s="209" t="e">
        <f>#REF!</f>
        <v>#REF!</v>
      </c>
      <c r="AH75" s="209" t="e">
        <f>#REF!</f>
        <v>#REF!</v>
      </c>
      <c r="AI75" s="209" t="e">
        <f>#REF!</f>
        <v>#REF!</v>
      </c>
      <c r="AJ75" s="209"/>
      <c r="AK75" s="209" t="e">
        <f>#REF!</f>
        <v>#REF!</v>
      </c>
      <c r="AL75" s="207" t="e">
        <f t="shared" si="4"/>
        <v>#REF!</v>
      </c>
      <c r="AM75" s="207">
        <f t="shared" si="5"/>
        <v>0</v>
      </c>
      <c r="AN75" s="207" t="e">
        <f t="shared" si="8"/>
        <v>#REF!</v>
      </c>
      <c r="AO75" s="207" t="e">
        <f t="shared" si="9"/>
        <v>#REF!</v>
      </c>
      <c r="AP75" s="207" t="e">
        <f t="shared" si="10"/>
        <v>#REF!</v>
      </c>
      <c r="AQ75" s="243" t="e">
        <f t="shared" si="11"/>
        <v>#REF!</v>
      </c>
      <c r="AR75" s="207" t="e">
        <f t="shared" si="12"/>
        <v>#REF!</v>
      </c>
      <c r="AS75" s="246"/>
    </row>
    <row r="76" spans="4:45" ht="13.5" customHeight="1">
      <c r="D76" s="1">
        <v>18</v>
      </c>
      <c r="AB76" s="174" t="s">
        <v>1233</v>
      </c>
      <c r="AC76" s="5" t="s">
        <v>973</v>
      </c>
      <c r="AD76" s="174" t="s">
        <v>1218</v>
      </c>
      <c r="AE76" s="209" t="e">
        <f>#REF!</f>
        <v>#REF!</v>
      </c>
      <c r="AF76" s="209" t="e">
        <f>#REF!</f>
        <v>#REF!</v>
      </c>
      <c r="AG76" s="209" t="e">
        <f>#REF!</f>
        <v>#REF!</v>
      </c>
      <c r="AH76" s="209" t="e">
        <f>#REF!</f>
        <v>#REF!</v>
      </c>
      <c r="AI76" s="209" t="e">
        <f>#REF!</f>
        <v>#REF!</v>
      </c>
      <c r="AJ76" s="209"/>
      <c r="AK76" s="209" t="e">
        <f>#REF!</f>
        <v>#REF!</v>
      </c>
      <c r="AL76" s="207" t="e">
        <f t="shared" si="4"/>
        <v>#REF!</v>
      </c>
      <c r="AM76" s="207">
        <f t="shared" si="5"/>
        <v>0</v>
      </c>
      <c r="AN76" s="207" t="e">
        <f t="shared" si="8"/>
        <v>#REF!</v>
      </c>
      <c r="AO76" s="207" t="e">
        <f t="shared" si="9"/>
        <v>#REF!</v>
      </c>
      <c r="AP76" s="207" t="e">
        <f t="shared" si="10"/>
        <v>#REF!</v>
      </c>
      <c r="AQ76" s="243" t="e">
        <f t="shared" si="11"/>
        <v>#REF!</v>
      </c>
      <c r="AR76" s="207" t="e">
        <f t="shared" si="12"/>
        <v>#REF!</v>
      </c>
      <c r="AS76" s="246"/>
    </row>
    <row r="77" spans="4:45" ht="13.5" customHeight="1">
      <c r="D77" s="1">
        <v>18</v>
      </c>
      <c r="AB77" s="174" t="s">
        <v>1234</v>
      </c>
      <c r="AC77" s="5" t="s">
        <v>975</v>
      </c>
      <c r="AD77" s="174" t="s">
        <v>1218</v>
      </c>
      <c r="AE77" s="209" t="e">
        <f>#REF!</f>
        <v>#REF!</v>
      </c>
      <c r="AF77" s="209" t="e">
        <f>#REF!</f>
        <v>#REF!</v>
      </c>
      <c r="AG77" s="209" t="e">
        <f>#REF!</f>
        <v>#REF!</v>
      </c>
      <c r="AH77" s="209" t="e">
        <f>#REF!</f>
        <v>#REF!</v>
      </c>
      <c r="AI77" s="209" t="e">
        <f>#REF!</f>
        <v>#REF!</v>
      </c>
      <c r="AJ77" s="225"/>
      <c r="AK77" s="209" t="e">
        <f>#REF!</f>
        <v>#REF!</v>
      </c>
      <c r="AL77" s="207" t="e">
        <f t="shared" si="4"/>
        <v>#REF!</v>
      </c>
      <c r="AM77" s="207">
        <f t="shared" si="5"/>
        <v>0</v>
      </c>
      <c r="AN77" s="207" t="e">
        <f t="shared" si="8"/>
        <v>#REF!</v>
      </c>
      <c r="AO77" s="207" t="e">
        <f t="shared" si="9"/>
        <v>#REF!</v>
      </c>
      <c r="AP77" s="207" t="e">
        <f t="shared" si="10"/>
        <v>#REF!</v>
      </c>
      <c r="AQ77" s="243" t="e">
        <f t="shared" si="11"/>
        <v>#REF!</v>
      </c>
      <c r="AR77" s="207" t="e">
        <f t="shared" si="12"/>
        <v>#REF!</v>
      </c>
      <c r="AS77" s="246"/>
    </row>
    <row r="78" spans="4:45" ht="13.5" customHeight="1">
      <c r="D78" s="1">
        <v>18</v>
      </c>
      <c r="AB78" s="174" t="s">
        <v>628</v>
      </c>
      <c r="AC78" s="5" t="s">
        <v>998</v>
      </c>
      <c r="AD78" s="174" t="s">
        <v>1218</v>
      </c>
      <c r="AE78" s="209" t="e">
        <f>#REF!</f>
        <v>#REF!</v>
      </c>
      <c r="AF78" s="209" t="e">
        <f>#REF!</f>
        <v>#REF!</v>
      </c>
      <c r="AG78" s="209" t="e">
        <f>#REF!</f>
        <v>#REF!</v>
      </c>
      <c r="AH78" s="209" t="e">
        <f>#REF!</f>
        <v>#REF!</v>
      </c>
      <c r="AI78" s="209" t="e">
        <f>#REF!</f>
        <v>#REF!</v>
      </c>
      <c r="AJ78" s="209"/>
      <c r="AK78" s="209" t="e">
        <f>#REF!</f>
        <v>#REF!</v>
      </c>
      <c r="AL78" s="207" t="e">
        <f t="shared" si="4"/>
        <v>#REF!</v>
      </c>
      <c r="AM78" s="207">
        <f t="shared" si="5"/>
        <v>0</v>
      </c>
      <c r="AN78" s="207" t="e">
        <f t="shared" si="8"/>
        <v>#REF!</v>
      </c>
      <c r="AO78" s="207" t="e">
        <f t="shared" si="9"/>
        <v>#REF!</v>
      </c>
      <c r="AP78" s="207" t="e">
        <f t="shared" si="10"/>
        <v>#REF!</v>
      </c>
      <c r="AQ78" s="243" t="e">
        <f t="shared" si="11"/>
        <v>#REF!</v>
      </c>
      <c r="AR78" s="207" t="e">
        <f t="shared" si="12"/>
        <v>#REF!</v>
      </c>
      <c r="AS78" s="246"/>
    </row>
    <row r="79" spans="4:45" ht="13.5" customHeight="1">
      <c r="D79" s="1">
        <v>18</v>
      </c>
      <c r="AB79" s="174" t="s">
        <v>902</v>
      </c>
      <c r="AC79" s="5" t="s">
        <v>1082</v>
      </c>
      <c r="AD79" s="174" t="s">
        <v>1218</v>
      </c>
      <c r="AE79" s="209" t="e">
        <f>#REF!</f>
        <v>#REF!</v>
      </c>
      <c r="AF79" s="209" t="e">
        <f>#REF!</f>
        <v>#REF!</v>
      </c>
      <c r="AG79" s="209" t="e">
        <f>#REF!</f>
        <v>#REF!</v>
      </c>
      <c r="AH79" s="209" t="e">
        <f>#REF!</f>
        <v>#REF!</v>
      </c>
      <c r="AI79" s="209" t="e">
        <f>#REF!</f>
        <v>#REF!</v>
      </c>
      <c r="AJ79" s="209"/>
      <c r="AK79" s="209" t="e">
        <f>#REF!</f>
        <v>#REF!</v>
      </c>
      <c r="AL79" s="207" t="e">
        <f t="shared" si="4"/>
        <v>#REF!</v>
      </c>
      <c r="AM79" s="207">
        <f t="shared" si="5"/>
        <v>0</v>
      </c>
      <c r="AN79" s="207" t="e">
        <f t="shared" si="8"/>
        <v>#REF!</v>
      </c>
      <c r="AO79" s="207" t="e">
        <f t="shared" si="9"/>
        <v>#REF!</v>
      </c>
      <c r="AP79" s="207" t="e">
        <f t="shared" si="10"/>
        <v>#REF!</v>
      </c>
      <c r="AQ79" s="243" t="e">
        <f t="shared" si="11"/>
        <v>#REF!</v>
      </c>
      <c r="AR79" s="207" t="e">
        <f t="shared" si="12"/>
        <v>#REF!</v>
      </c>
      <c r="AS79" s="246"/>
    </row>
    <row r="80" spans="4:45" ht="13.5" customHeight="1">
      <c r="D80" s="1">
        <v>18</v>
      </c>
      <c r="AB80" s="247" t="s">
        <v>903</v>
      </c>
      <c r="AC80" s="248" t="s">
        <v>1083</v>
      </c>
      <c r="AD80" s="247" t="s">
        <v>1218</v>
      </c>
      <c r="AE80" s="249" t="e">
        <f t="shared" ref="AE80:AK80" si="13">AE60+AE63+AE64+AE78+AE79</f>
        <v>#REF!</v>
      </c>
      <c r="AF80" s="249" t="e">
        <f t="shared" si="13"/>
        <v>#REF!</v>
      </c>
      <c r="AG80" s="249" t="e">
        <f t="shared" si="13"/>
        <v>#REF!</v>
      </c>
      <c r="AH80" s="249" t="e">
        <f t="shared" si="13"/>
        <v>#REF!</v>
      </c>
      <c r="AI80" s="249" t="e">
        <f t="shared" si="13"/>
        <v>#REF!</v>
      </c>
      <c r="AJ80" s="249">
        <f t="shared" si="13"/>
        <v>0</v>
      </c>
      <c r="AK80" s="249" t="e">
        <f t="shared" si="13"/>
        <v>#REF!</v>
      </c>
      <c r="AL80" s="250" t="e">
        <f t="shared" si="4"/>
        <v>#REF!</v>
      </c>
      <c r="AM80" s="250">
        <f t="shared" si="5"/>
        <v>0</v>
      </c>
      <c r="AN80" s="249" t="e">
        <f>AN60+AN63+AN64+AN78+AN79</f>
        <v>#REF!</v>
      </c>
      <c r="AO80" s="249" t="e">
        <f>AO60+AO63+AO64+AO78+AO79</f>
        <v>#REF!</v>
      </c>
      <c r="AP80" s="249" t="e">
        <f>AP60+AP63+AP64+AP78+AP79</f>
        <v>#REF!</v>
      </c>
      <c r="AQ80" s="249" t="e">
        <f>AQ60+AQ63+AQ64+AQ78+AQ79</f>
        <v>#REF!</v>
      </c>
      <c r="AR80" s="249" t="e">
        <f>AR60+AR63+AR64+AR78+AR79</f>
        <v>#REF!</v>
      </c>
      <c r="AS80" s="251"/>
    </row>
    <row r="81" spans="4:45" ht="13.5" customHeight="1">
      <c r="D81" s="1">
        <v>18</v>
      </c>
      <c r="AB81" s="174" t="s">
        <v>632</v>
      </c>
      <c r="AC81" s="5" t="s">
        <v>573</v>
      </c>
      <c r="AD81" s="174" t="s">
        <v>1218</v>
      </c>
      <c r="AE81" s="209" t="e">
        <f>#REF!</f>
        <v>#REF!</v>
      </c>
      <c r="AF81" s="209" t="e">
        <f>#REF!</f>
        <v>#REF!</v>
      </c>
      <c r="AG81" s="209" t="e">
        <f>#REF!</f>
        <v>#REF!</v>
      </c>
      <c r="AH81" s="209" t="e">
        <f>#REF!</f>
        <v>#REF!</v>
      </c>
      <c r="AI81" s="209" t="e">
        <f>#REF!</f>
        <v>#REF!</v>
      </c>
      <c r="AJ81" s="209"/>
      <c r="AK81" s="252" t="e">
        <f>#REF!</f>
        <v>#REF!</v>
      </c>
      <c r="AL81" s="207" t="e">
        <f t="shared" si="4"/>
        <v>#REF!</v>
      </c>
      <c r="AM81" s="207">
        <f t="shared" si="5"/>
        <v>0</v>
      </c>
      <c r="AN81" s="253" t="e">
        <f>AK81*$AI$110</f>
        <v>#REF!</v>
      </c>
      <c r="AO81" s="209" t="e">
        <f>#REF!</f>
        <v>#REF!</v>
      </c>
      <c r="AP81" s="209" t="e">
        <f>#REF!</f>
        <v>#REF!</v>
      </c>
      <c r="AQ81" s="209" t="e">
        <f>#REF!</f>
        <v>#REF!</v>
      </c>
      <c r="AR81" s="209" t="e">
        <f>#REF!</f>
        <v>#REF!</v>
      </c>
      <c r="AS81" s="242"/>
    </row>
    <row r="82" spans="4:45" ht="13.5" customHeight="1">
      <c r="D82" s="1">
        <v>18</v>
      </c>
      <c r="AB82" s="174" t="s">
        <v>762</v>
      </c>
      <c r="AC82" s="5" t="s">
        <v>575</v>
      </c>
      <c r="AD82" s="174" t="s">
        <v>1218</v>
      </c>
      <c r="AE82" s="209" t="e">
        <f>#REF!</f>
        <v>#REF!</v>
      </c>
      <c r="AF82" s="209" t="e">
        <f>#REF!</f>
        <v>#REF!</v>
      </c>
      <c r="AG82" s="209" t="e">
        <f>#REF!</f>
        <v>#REF!</v>
      </c>
      <c r="AH82" s="209" t="e">
        <f>#REF!</f>
        <v>#REF!</v>
      </c>
      <c r="AI82" s="209" t="e">
        <f>#REF!</f>
        <v>#REF!</v>
      </c>
      <c r="AJ82" s="209"/>
      <c r="AK82" s="252" t="e">
        <f>#REF!</f>
        <v>#REF!</v>
      </c>
      <c r="AL82" s="207" t="e">
        <f t="shared" si="4"/>
        <v>#REF!</v>
      </c>
      <c r="AM82" s="207">
        <f t="shared" si="5"/>
        <v>0</v>
      </c>
      <c r="AN82" s="253" t="e">
        <f>AK82*$AI$110</f>
        <v>#REF!</v>
      </c>
      <c r="AO82" s="209" t="e">
        <f>#REF!</f>
        <v>#REF!</v>
      </c>
      <c r="AP82" s="209" t="e">
        <f>#REF!</f>
        <v>#REF!</v>
      </c>
      <c r="AQ82" s="209" t="e">
        <f>#REF!</f>
        <v>#REF!</v>
      </c>
      <c r="AR82" s="209" t="e">
        <f>#REF!</f>
        <v>#REF!</v>
      </c>
      <c r="AS82" s="242"/>
    </row>
    <row r="83" spans="4:45" ht="13.5" customHeight="1">
      <c r="D83" s="1">
        <v>18</v>
      </c>
      <c r="AB83" s="174" t="s">
        <v>763</v>
      </c>
      <c r="AC83" s="5" t="s">
        <v>1235</v>
      </c>
      <c r="AD83" s="174" t="s">
        <v>1218</v>
      </c>
      <c r="AE83" s="209" t="e">
        <f>#REF!</f>
        <v>#REF!</v>
      </c>
      <c r="AF83" s="209" t="e">
        <f>#REF!</f>
        <v>#REF!</v>
      </c>
      <c r="AG83" s="209" t="e">
        <f>#REF!</f>
        <v>#REF!</v>
      </c>
      <c r="AH83" s="209" t="e">
        <f>#REF!</f>
        <v>#REF!</v>
      </c>
      <c r="AI83" s="209" t="e">
        <f>#REF!</f>
        <v>#REF!</v>
      </c>
      <c r="AJ83" s="225"/>
      <c r="AK83" s="252" t="e">
        <f>#REF!</f>
        <v>#REF!</v>
      </c>
      <c r="AL83" s="207" t="e">
        <f t="shared" si="4"/>
        <v>#REF!</v>
      </c>
      <c r="AM83" s="207">
        <f t="shared" si="5"/>
        <v>0</v>
      </c>
      <c r="AN83" s="253" t="e">
        <f>AK83*$AI$110</f>
        <v>#REF!</v>
      </c>
      <c r="AO83" s="209" t="e">
        <f>#REF!</f>
        <v>#REF!</v>
      </c>
      <c r="AP83" s="209" t="e">
        <f>#REF!</f>
        <v>#REF!</v>
      </c>
      <c r="AQ83" s="209" t="e">
        <f>#REF!</f>
        <v>#REF!</v>
      </c>
      <c r="AR83" s="209" t="e">
        <f>#REF!</f>
        <v>#REF!</v>
      </c>
      <c r="AS83" s="242"/>
    </row>
    <row r="84" spans="4:45" ht="27" customHeight="1">
      <c r="D84" s="1">
        <v>36</v>
      </c>
      <c r="AB84" s="174" t="s">
        <v>764</v>
      </c>
      <c r="AC84" s="5" t="s">
        <v>1236</v>
      </c>
      <c r="AD84" s="174" t="s">
        <v>1218</v>
      </c>
      <c r="AE84" s="209" t="e">
        <f>#REF!</f>
        <v>#REF!</v>
      </c>
      <c r="AF84" s="209" t="e">
        <f>#REF!</f>
        <v>#REF!</v>
      </c>
      <c r="AG84" s="209" t="e">
        <f>#REF!</f>
        <v>#REF!</v>
      </c>
      <c r="AH84" s="209" t="e">
        <f>#REF!</f>
        <v>#REF!</v>
      </c>
      <c r="AI84" s="209" t="e">
        <f>#REF!</f>
        <v>#REF!</v>
      </c>
      <c r="AJ84" s="225"/>
      <c r="AK84" s="252" t="e">
        <f>#REF!</f>
        <v>#REF!</v>
      </c>
      <c r="AL84" s="207" t="e">
        <f t="shared" si="4"/>
        <v>#REF!</v>
      </c>
      <c r="AM84" s="207">
        <f t="shared" si="5"/>
        <v>0</v>
      </c>
      <c r="AN84" s="253" t="e">
        <f>AK84*$AI$110</f>
        <v>#REF!</v>
      </c>
      <c r="AO84" s="209" t="e">
        <f>#REF!</f>
        <v>#REF!</v>
      </c>
      <c r="AP84" s="209" t="e">
        <f>#REF!</f>
        <v>#REF!</v>
      </c>
      <c r="AQ84" s="209" t="e">
        <f>#REF!</f>
        <v>#REF!</v>
      </c>
      <c r="AR84" s="209" t="e">
        <f>#REF!</f>
        <v>#REF!</v>
      </c>
      <c r="AS84" s="242"/>
    </row>
    <row r="85" spans="4:45" ht="27" customHeight="1">
      <c r="D85" s="1">
        <v>36</v>
      </c>
      <c r="AB85" s="174" t="s">
        <v>765</v>
      </c>
      <c r="AC85" s="5" t="s">
        <v>1237</v>
      </c>
      <c r="AD85" s="174" t="s">
        <v>1218</v>
      </c>
      <c r="AE85" s="207" t="e">
        <f t="shared" ref="AE85:AK85" si="14">AE86+AE87+AE88</f>
        <v>#REF!</v>
      </c>
      <c r="AF85" s="207" t="e">
        <f t="shared" si="14"/>
        <v>#REF!</v>
      </c>
      <c r="AG85" s="207" t="e">
        <f t="shared" si="14"/>
        <v>#REF!</v>
      </c>
      <c r="AH85" s="207" t="e">
        <f t="shared" si="14"/>
        <v>#REF!</v>
      </c>
      <c r="AI85" s="207" t="e">
        <f t="shared" si="14"/>
        <v>#REF!</v>
      </c>
      <c r="AJ85" s="207">
        <f t="shared" si="14"/>
        <v>0</v>
      </c>
      <c r="AK85" s="253" t="e">
        <f t="shared" si="14"/>
        <v>#REF!</v>
      </c>
      <c r="AL85" s="207" t="e">
        <f t="shared" si="4"/>
        <v>#REF!</v>
      </c>
      <c r="AM85" s="207">
        <f t="shared" si="5"/>
        <v>0</v>
      </c>
      <c r="AN85" s="253" t="e">
        <f>AN86+AN87+AN88</f>
        <v>#REF!</v>
      </c>
      <c r="AO85" s="207" t="e">
        <f>AO86+AO87+AO88</f>
        <v>#REF!</v>
      </c>
      <c r="AP85" s="207" t="e">
        <f>AP86+AP87+AP88</f>
        <v>#REF!</v>
      </c>
      <c r="AQ85" s="207" t="e">
        <f>AQ86+AQ87+AQ88</f>
        <v>#REF!</v>
      </c>
      <c r="AR85" s="207" t="e">
        <f>AR86+AR87+AR88</f>
        <v>#REF!</v>
      </c>
      <c r="AS85" s="242"/>
    </row>
    <row r="86" spans="4:45" ht="13.5" customHeight="1">
      <c r="D86" s="1">
        <v>18</v>
      </c>
      <c r="AB86" s="174" t="s">
        <v>767</v>
      </c>
      <c r="AC86" s="5" t="s">
        <v>1238</v>
      </c>
      <c r="AD86" s="174" t="s">
        <v>1218</v>
      </c>
      <c r="AE86" s="209" t="e">
        <f>#REF!</f>
        <v>#REF!</v>
      </c>
      <c r="AF86" s="209" t="e">
        <f>#REF!</f>
        <v>#REF!</v>
      </c>
      <c r="AG86" s="209" t="e">
        <f>#REF!</f>
        <v>#REF!</v>
      </c>
      <c r="AH86" s="209" t="e">
        <f>#REF!</f>
        <v>#REF!</v>
      </c>
      <c r="AI86" s="209" t="e">
        <f>#REF!</f>
        <v>#REF!</v>
      </c>
      <c r="AJ86" s="209"/>
      <c r="AK86" s="252" t="e">
        <f>#REF!</f>
        <v>#REF!</v>
      </c>
      <c r="AL86" s="207" t="e">
        <f t="shared" si="4"/>
        <v>#REF!</v>
      </c>
      <c r="AM86" s="207">
        <f t="shared" si="5"/>
        <v>0</v>
      </c>
      <c r="AN86" s="253" t="e">
        <f t="shared" ref="AN86:AN92" si="15">AK86*$AI$110</f>
        <v>#REF!</v>
      </c>
      <c r="AO86" s="209" t="e">
        <f>#REF!</f>
        <v>#REF!</v>
      </c>
      <c r="AP86" s="209" t="e">
        <f>#REF!</f>
        <v>#REF!</v>
      </c>
      <c r="AQ86" s="209" t="e">
        <f>#REF!</f>
        <v>#REF!</v>
      </c>
      <c r="AR86" s="209" t="e">
        <f>#REF!</f>
        <v>#REF!</v>
      </c>
      <c r="AS86" s="242"/>
    </row>
    <row r="87" spans="4:45" ht="13.5" customHeight="1">
      <c r="D87" s="1">
        <v>18</v>
      </c>
      <c r="AB87" s="174" t="s">
        <v>768</v>
      </c>
      <c r="AC87" s="5" t="s">
        <v>480</v>
      </c>
      <c r="AD87" s="174" t="s">
        <v>1218</v>
      </c>
      <c r="AE87" s="209" t="e">
        <f>#REF!</f>
        <v>#REF!</v>
      </c>
      <c r="AF87" s="209" t="e">
        <f>#REF!</f>
        <v>#REF!</v>
      </c>
      <c r="AG87" s="209" t="e">
        <f>#REF!</f>
        <v>#REF!</v>
      </c>
      <c r="AH87" s="209" t="e">
        <f>#REF!</f>
        <v>#REF!</v>
      </c>
      <c r="AI87" s="209" t="e">
        <f>#REF!</f>
        <v>#REF!</v>
      </c>
      <c r="AJ87" s="209"/>
      <c r="AK87" s="252" t="e">
        <f>#REF!</f>
        <v>#REF!</v>
      </c>
      <c r="AL87" s="207" t="e">
        <f t="shared" si="4"/>
        <v>#REF!</v>
      </c>
      <c r="AM87" s="207">
        <f t="shared" si="5"/>
        <v>0</v>
      </c>
      <c r="AN87" s="253" t="e">
        <f t="shared" si="15"/>
        <v>#REF!</v>
      </c>
      <c r="AO87" s="209" t="e">
        <f>#REF!</f>
        <v>#REF!</v>
      </c>
      <c r="AP87" s="209" t="e">
        <f>#REF!</f>
        <v>#REF!</v>
      </c>
      <c r="AQ87" s="209" t="e">
        <f>#REF!</f>
        <v>#REF!</v>
      </c>
      <c r="AR87" s="209" t="e">
        <f>#REF!</f>
        <v>#REF!</v>
      </c>
      <c r="AS87" s="242"/>
    </row>
    <row r="88" spans="4:45" ht="13.5" customHeight="1">
      <c r="D88" s="1">
        <v>18</v>
      </c>
      <c r="AB88" s="174" t="s">
        <v>769</v>
      </c>
      <c r="AC88" s="5" t="s">
        <v>1103</v>
      </c>
      <c r="AD88" s="174" t="s">
        <v>1218</v>
      </c>
      <c r="AE88" s="209" t="e">
        <f>#REF!+#REF!</f>
        <v>#REF!</v>
      </c>
      <c r="AF88" s="209" t="e">
        <f>#REF!+#REF!</f>
        <v>#REF!</v>
      </c>
      <c r="AG88" s="209" t="e">
        <f>#REF!+#REF!</f>
        <v>#REF!</v>
      </c>
      <c r="AH88" s="209" t="e">
        <f>#REF!+#REF!</f>
        <v>#REF!</v>
      </c>
      <c r="AI88" s="209" t="e">
        <f>#REF!+#REF!</f>
        <v>#REF!</v>
      </c>
      <c r="AJ88" s="209"/>
      <c r="AK88" s="252" t="e">
        <f>#REF!+#REF!</f>
        <v>#REF!</v>
      </c>
      <c r="AL88" s="207" t="e">
        <f t="shared" si="4"/>
        <v>#REF!</v>
      </c>
      <c r="AM88" s="207">
        <f t="shared" si="5"/>
        <v>0</v>
      </c>
      <c r="AN88" s="253" t="e">
        <f t="shared" si="15"/>
        <v>#REF!</v>
      </c>
      <c r="AO88" s="209" t="e">
        <f>#REF!+#REF!</f>
        <v>#REF!</v>
      </c>
      <c r="AP88" s="209" t="e">
        <f>#REF!+#REF!</f>
        <v>#REF!</v>
      </c>
      <c r="AQ88" s="209" t="e">
        <f>#REF!+#REF!</f>
        <v>#REF!</v>
      </c>
      <c r="AR88" s="209" t="e">
        <f>#REF!+#REF!</f>
        <v>#REF!</v>
      </c>
      <c r="AS88" s="242"/>
    </row>
    <row r="89" spans="4:45" ht="13.5" customHeight="1">
      <c r="D89" s="1">
        <v>18</v>
      </c>
      <c r="AB89" s="174" t="s">
        <v>770</v>
      </c>
      <c r="AC89" s="5" t="s">
        <v>1105</v>
      </c>
      <c r="AD89" s="174" t="s">
        <v>1218</v>
      </c>
      <c r="AE89" s="209" t="e">
        <f>#REF!</f>
        <v>#REF!</v>
      </c>
      <c r="AF89" s="209" t="e">
        <f>#REF!</f>
        <v>#REF!</v>
      </c>
      <c r="AG89" s="209" t="e">
        <f>#REF!</f>
        <v>#REF!</v>
      </c>
      <c r="AH89" s="209" t="e">
        <f>#REF!</f>
        <v>#REF!</v>
      </c>
      <c r="AI89" s="209" t="e">
        <f>#REF!</f>
        <v>#REF!</v>
      </c>
      <c r="AJ89" s="209"/>
      <c r="AK89" s="252" t="e">
        <f>#REF!</f>
        <v>#REF!</v>
      </c>
      <c r="AL89" s="207" t="e">
        <f t="shared" si="4"/>
        <v>#REF!</v>
      </c>
      <c r="AM89" s="207">
        <f t="shared" si="5"/>
        <v>0</v>
      </c>
      <c r="AN89" s="253" t="e">
        <f t="shared" si="15"/>
        <v>#REF!</v>
      </c>
      <c r="AO89" s="209" t="e">
        <f>#REF!</f>
        <v>#REF!</v>
      </c>
      <c r="AP89" s="209" t="e">
        <f>#REF!</f>
        <v>#REF!</v>
      </c>
      <c r="AQ89" s="209" t="e">
        <f>#REF!</f>
        <v>#REF!</v>
      </c>
      <c r="AR89" s="209" t="e">
        <f>#REF!</f>
        <v>#REF!</v>
      </c>
      <c r="AS89" s="242"/>
    </row>
    <row r="90" spans="4:45" ht="13.5" customHeight="1">
      <c r="D90" s="1">
        <v>18</v>
      </c>
      <c r="AB90" s="174" t="s">
        <v>907</v>
      </c>
      <c r="AC90" s="5" t="s">
        <v>577</v>
      </c>
      <c r="AD90" s="174" t="s">
        <v>1218</v>
      </c>
      <c r="AE90" s="209" t="e">
        <f>#REF!+#REF!+#REF!+#REF!+#REF!+#REF!</f>
        <v>#REF!</v>
      </c>
      <c r="AF90" s="209" t="e">
        <f>#REF!+#REF!+#REF!+#REF!+#REF!+#REF!</f>
        <v>#REF!</v>
      </c>
      <c r="AG90" s="209" t="e">
        <f>#REF!+#REF!+#REF!+#REF!+#REF!+#REF!</f>
        <v>#REF!</v>
      </c>
      <c r="AH90" s="209" t="e">
        <f>#REF!+#REF!+#REF!+#REF!+#REF!+#REF!</f>
        <v>#REF!</v>
      </c>
      <c r="AI90" s="209" t="e">
        <f>#REF!+#REF!+#REF!+#REF!+#REF!+#REF!</f>
        <v>#REF!</v>
      </c>
      <c r="AJ90" s="209"/>
      <c r="AK90" s="252" t="e">
        <f>#REF!+#REF!+#REF!+#REF!+#REF!+#REF!</f>
        <v>#REF!</v>
      </c>
      <c r="AL90" s="207" t="e">
        <f t="shared" si="4"/>
        <v>#REF!</v>
      </c>
      <c r="AM90" s="207">
        <f t="shared" si="5"/>
        <v>0</v>
      </c>
      <c r="AN90" s="253" t="e">
        <f t="shared" si="15"/>
        <v>#REF!</v>
      </c>
      <c r="AO90" s="209" t="e">
        <f>#REF!+#REF!+#REF!+#REF!+#REF!+#REF!+#REF!</f>
        <v>#REF!</v>
      </c>
      <c r="AP90" s="209" t="e">
        <f>#REF!+#REF!+#REF!+#REF!+#REF!+#REF!+#REF!</f>
        <v>#REF!</v>
      </c>
      <c r="AQ90" s="209" t="e">
        <f>#REF!+#REF!+#REF!+#REF!+#REF!+#REF!+#REF!</f>
        <v>#REF!</v>
      </c>
      <c r="AR90" s="209" t="e">
        <f>#REF!+#REF!+#REF!+#REF!+#REF!+#REF!+#REF!</f>
        <v>#REF!</v>
      </c>
      <c r="AS90" s="242"/>
    </row>
    <row r="91" spans="4:45" ht="13.5" customHeight="1">
      <c r="D91" s="1">
        <v>18</v>
      </c>
      <c r="AB91" s="174" t="s">
        <v>908</v>
      </c>
      <c r="AC91" s="5" t="s">
        <v>1239</v>
      </c>
      <c r="AD91" s="174" t="s">
        <v>1218</v>
      </c>
      <c r="AE91" s="209" t="e">
        <f>#REF!</f>
        <v>#REF!</v>
      </c>
      <c r="AF91" s="209" t="e">
        <f>#REF!</f>
        <v>#REF!</v>
      </c>
      <c r="AG91" s="209" t="e">
        <f>#REF!</f>
        <v>#REF!</v>
      </c>
      <c r="AH91" s="209" t="e">
        <f>#REF!</f>
        <v>#REF!</v>
      </c>
      <c r="AI91" s="209" t="e">
        <f>#REF!</f>
        <v>#REF!</v>
      </c>
      <c r="AJ91" s="209"/>
      <c r="AK91" s="252" t="e">
        <f>#REF!</f>
        <v>#REF!</v>
      </c>
      <c r="AL91" s="207" t="e">
        <f t="shared" si="4"/>
        <v>#REF!</v>
      </c>
      <c r="AM91" s="207">
        <f t="shared" si="5"/>
        <v>0</v>
      </c>
      <c r="AN91" s="253" t="e">
        <f t="shared" si="15"/>
        <v>#REF!</v>
      </c>
      <c r="AO91" s="209" t="e">
        <f>#REF!</f>
        <v>#REF!</v>
      </c>
      <c r="AP91" s="209" t="e">
        <f>#REF!</f>
        <v>#REF!</v>
      </c>
      <c r="AQ91" s="209" t="e">
        <f>#REF!</f>
        <v>#REF!</v>
      </c>
      <c r="AR91" s="209" t="e">
        <f>#REF!</f>
        <v>#REF!</v>
      </c>
      <c r="AS91" s="242"/>
    </row>
    <row r="92" spans="4:45" ht="13.5" customHeight="1">
      <c r="D92" s="1">
        <v>18</v>
      </c>
      <c r="AB92" s="174" t="s">
        <v>1240</v>
      </c>
      <c r="AC92" s="5" t="s">
        <v>1241</v>
      </c>
      <c r="AD92" s="174" t="s">
        <v>1218</v>
      </c>
      <c r="AE92" s="209" t="e">
        <f>#REF!</f>
        <v>#REF!</v>
      </c>
      <c r="AF92" s="209" t="e">
        <f>#REF!</f>
        <v>#REF!</v>
      </c>
      <c r="AG92" s="209" t="e">
        <f>#REF!</f>
        <v>#REF!</v>
      </c>
      <c r="AH92" s="209" t="e">
        <f>#REF!</f>
        <v>#REF!</v>
      </c>
      <c r="AI92" s="209" t="e">
        <f>#REF!</f>
        <v>#REF!</v>
      </c>
      <c r="AJ92" s="209"/>
      <c r="AK92" s="252" t="e">
        <f>#REF!</f>
        <v>#REF!</v>
      </c>
      <c r="AL92" s="207" t="e">
        <f t="shared" si="4"/>
        <v>#REF!</v>
      </c>
      <c r="AM92" s="207">
        <f t="shared" si="5"/>
        <v>0</v>
      </c>
      <c r="AN92" s="253" t="e">
        <f t="shared" si="15"/>
        <v>#REF!</v>
      </c>
      <c r="AO92" s="209" t="e">
        <f>#REF!</f>
        <v>#REF!</v>
      </c>
      <c r="AP92" s="209" t="e">
        <f>#REF!</f>
        <v>#REF!</v>
      </c>
      <c r="AQ92" s="209" t="e">
        <f>#REF!</f>
        <v>#REF!</v>
      </c>
      <c r="AR92" s="209" t="e">
        <f>#REF!</f>
        <v>#REF!</v>
      </c>
      <c r="AS92" s="242"/>
    </row>
    <row r="93" spans="4:45" ht="13.5" customHeight="1">
      <c r="D93" s="1">
        <v>18</v>
      </c>
      <c r="AB93" s="174" t="s">
        <v>909</v>
      </c>
      <c r="AC93" s="5" t="s">
        <v>1111</v>
      </c>
      <c r="AD93" s="174" t="s">
        <v>1218</v>
      </c>
      <c r="AE93" s="209" t="e">
        <f>#REF!</f>
        <v>#REF!</v>
      </c>
      <c r="AF93" s="209" t="e">
        <f>#REF!</f>
        <v>#REF!</v>
      </c>
      <c r="AG93" s="209" t="e">
        <f>#REF!</f>
        <v>#REF!</v>
      </c>
      <c r="AH93" s="209" t="e">
        <f>#REF!</f>
        <v>#REF!</v>
      </c>
      <c r="AI93" s="209" t="e">
        <f>#REF!</f>
        <v>#REF!</v>
      </c>
      <c r="AJ93" s="209"/>
      <c r="AK93" s="252" t="e">
        <f>#REF!</f>
        <v>#REF!</v>
      </c>
      <c r="AL93" s="207" t="e">
        <f t="shared" si="4"/>
        <v>#REF!</v>
      </c>
      <c r="AM93" s="207">
        <f t="shared" si="5"/>
        <v>0</v>
      </c>
      <c r="AN93" s="253" t="e">
        <f>AK93</f>
        <v>#REF!</v>
      </c>
      <c r="AO93" s="209" t="e">
        <f>#REF!</f>
        <v>#REF!</v>
      </c>
      <c r="AP93" s="209" t="e">
        <f>#REF!</f>
        <v>#REF!</v>
      </c>
      <c r="AQ93" s="209" t="e">
        <f>#REF!</f>
        <v>#REF!</v>
      </c>
      <c r="AR93" s="209" t="e">
        <f>#REF!</f>
        <v>#REF!</v>
      </c>
      <c r="AS93" s="242"/>
    </row>
    <row r="94" spans="4:45" ht="13.5" customHeight="1">
      <c r="D94" s="1">
        <v>18</v>
      </c>
      <c r="AB94" s="174" t="s">
        <v>910</v>
      </c>
      <c r="AC94" s="5" t="s">
        <v>1113</v>
      </c>
      <c r="AD94" s="174" t="s">
        <v>1218</v>
      </c>
      <c r="AE94" s="209" t="e">
        <f>#REF!</f>
        <v>#REF!</v>
      </c>
      <c r="AF94" s="209" t="e">
        <f>#REF!</f>
        <v>#REF!</v>
      </c>
      <c r="AG94" s="209" t="e">
        <f>#REF!</f>
        <v>#REF!</v>
      </c>
      <c r="AH94" s="209" t="e">
        <f>#REF!</f>
        <v>#REF!</v>
      </c>
      <c r="AI94" s="209" t="e">
        <f>#REF!</f>
        <v>#REF!</v>
      </c>
      <c r="AJ94" s="225"/>
      <c r="AK94" s="252" t="e">
        <f>#REF!</f>
        <v>#REF!</v>
      </c>
      <c r="AL94" s="207" t="e">
        <f t="shared" si="4"/>
        <v>#REF!</v>
      </c>
      <c r="AM94" s="207">
        <f t="shared" si="5"/>
        <v>0</v>
      </c>
      <c r="AN94" s="253" t="e">
        <f>AK94*$AI$110</f>
        <v>#REF!</v>
      </c>
      <c r="AO94" s="209" t="e">
        <f>#REF!</f>
        <v>#REF!</v>
      </c>
      <c r="AP94" s="209" t="e">
        <f>#REF!</f>
        <v>#REF!</v>
      </c>
      <c r="AQ94" s="209" t="e">
        <f>#REF!</f>
        <v>#REF!</v>
      </c>
      <c r="AR94" s="209" t="e">
        <f>#REF!</f>
        <v>#REF!</v>
      </c>
      <c r="AS94" s="242"/>
    </row>
    <row r="95" spans="4:45" ht="13.5" customHeight="1">
      <c r="D95" s="1">
        <v>18</v>
      </c>
      <c r="AB95" s="174" t="s">
        <v>982</v>
      </c>
      <c r="AC95" s="5" t="s">
        <v>996</v>
      </c>
      <c r="AD95" s="174" t="s">
        <v>1218</v>
      </c>
      <c r="AE95" s="209" t="e">
        <f>#REF!</f>
        <v>#REF!</v>
      </c>
      <c r="AF95" s="209" t="e">
        <f>#REF!</f>
        <v>#REF!</v>
      </c>
      <c r="AG95" s="209" t="e">
        <f>#REF!</f>
        <v>#REF!</v>
      </c>
      <c r="AH95" s="209" t="e">
        <f>#REF!</f>
        <v>#REF!</v>
      </c>
      <c r="AI95" s="209" t="e">
        <f>#REF!</f>
        <v>#REF!</v>
      </c>
      <c r="AJ95" s="209"/>
      <c r="AK95" s="252" t="e">
        <f>#REF!</f>
        <v>#REF!</v>
      </c>
      <c r="AL95" s="207" t="e">
        <f t="shared" si="4"/>
        <v>#REF!</v>
      </c>
      <c r="AM95" s="207">
        <f t="shared" si="5"/>
        <v>0</v>
      </c>
      <c r="AN95" s="253" t="e">
        <f>AK95*$AI$110</f>
        <v>#REF!</v>
      </c>
      <c r="AO95" s="209" t="e">
        <f>#REF!</f>
        <v>#REF!</v>
      </c>
      <c r="AP95" s="209" t="e">
        <f>#REF!</f>
        <v>#REF!</v>
      </c>
      <c r="AQ95" s="209" t="e">
        <f>#REF!</f>
        <v>#REF!</v>
      </c>
      <c r="AR95" s="209" t="e">
        <f>#REF!</f>
        <v>#REF!</v>
      </c>
      <c r="AS95" s="242"/>
    </row>
    <row r="96" spans="4:45" ht="27" customHeight="1">
      <c r="D96" s="1">
        <v>36</v>
      </c>
      <c r="AB96" s="174" t="s">
        <v>983</v>
      </c>
      <c r="AC96" s="5" t="s">
        <v>1242</v>
      </c>
      <c r="AD96" s="174" t="s">
        <v>1218</v>
      </c>
      <c r="AE96" s="209" t="e">
        <f>#REF!</f>
        <v>#REF!</v>
      </c>
      <c r="AF96" s="209" t="e">
        <f>#REF!</f>
        <v>#REF!</v>
      </c>
      <c r="AG96" s="209" t="e">
        <f>#REF!</f>
        <v>#REF!</v>
      </c>
      <c r="AH96" s="209" t="e">
        <f>#REF!</f>
        <v>#REF!</v>
      </c>
      <c r="AI96" s="209" t="e">
        <f>#REF!</f>
        <v>#REF!</v>
      </c>
      <c r="AJ96" s="209"/>
      <c r="AK96" s="252" t="e">
        <f>#REF!</f>
        <v>#REF!</v>
      </c>
      <c r="AL96" s="207" t="e">
        <f t="shared" si="4"/>
        <v>#REF!</v>
      </c>
      <c r="AM96" s="207">
        <f t="shared" si="5"/>
        <v>0</v>
      </c>
      <c r="AN96" s="253" t="e">
        <f>AK96*$AI$110</f>
        <v>#REF!</v>
      </c>
      <c r="AO96" s="209" t="e">
        <f>#REF!</f>
        <v>#REF!</v>
      </c>
      <c r="AP96" s="209" t="e">
        <f>#REF!</f>
        <v>#REF!</v>
      </c>
      <c r="AQ96" s="209" t="e">
        <f>#REF!</f>
        <v>#REF!</v>
      </c>
      <c r="AR96" s="209" t="e">
        <f>#REF!</f>
        <v>#REF!</v>
      </c>
      <c r="AS96" s="242"/>
    </row>
    <row r="97" spans="4:45" ht="27" customHeight="1">
      <c r="D97" s="1">
        <v>36</v>
      </c>
      <c r="AB97" s="174" t="s">
        <v>1243</v>
      </c>
      <c r="AC97" s="5" t="s">
        <v>1125</v>
      </c>
      <c r="AD97" s="174" t="s">
        <v>633</v>
      </c>
      <c r="AE97" s="254">
        <f>IFERROR((AE95+AE96)/(AE107-AE81-AE92-AE95-AE96-AE84),0)</f>
        <v>0</v>
      </c>
      <c r="AF97" s="254">
        <f>IFERROR((AF95+AF96)/(AF107-AF81-AF92-AF95-AF96-AF84),0)</f>
        <v>0</v>
      </c>
      <c r="AG97" s="254"/>
      <c r="AH97" s="254">
        <f>IFERROR((AH95+AH96)/(AH107-AH81-AH92-AH95-AH96-AH84),0)</f>
        <v>0</v>
      </c>
      <c r="AI97" s="254">
        <f>IFERROR((AI95+AI96)/(AI107-AI81-AI92-AI95-AI96-AI84),0)</f>
        <v>0</v>
      </c>
      <c r="AJ97" s="254">
        <f>IFERROR((AJ95+AJ96)/(AJ107-AJ81-AJ92-AJ95-AJ96-AJ84),0)</f>
        <v>0</v>
      </c>
      <c r="AK97" s="255">
        <f>IFERROR((AK95+AK96)/(AK107-AK81-AK92-AK95-AK96-AK84),0)</f>
        <v>0</v>
      </c>
      <c r="AL97" s="207"/>
      <c r="AM97" s="207"/>
      <c r="AN97" s="253"/>
      <c r="AO97" s="254">
        <f>IFERROR((AO95+AO96)/(AO107-AO81-AO92-AO95-AO96-AO84),0)</f>
        <v>0</v>
      </c>
      <c r="AP97" s="254">
        <f>IFERROR((AP95+AP96)/(AP107-AP81-AP92-AP95-AP96-AP84),0)</f>
        <v>0</v>
      </c>
      <c r="AQ97" s="254">
        <f>IFERROR((AQ95+AQ96)/(AQ107-AQ81-AQ92-AQ95-AQ96-AQ84),0)</f>
        <v>0</v>
      </c>
      <c r="AR97" s="254">
        <f>IFERROR((AR95+AR96)/(AR107-AR81-AR92-AR95-AR96-AR84),0)</f>
        <v>0</v>
      </c>
      <c r="AS97" s="242"/>
    </row>
    <row r="98" spans="4:45" ht="13.5" customHeight="1">
      <c r="D98" s="1">
        <v>18</v>
      </c>
      <c r="AB98" s="247" t="s">
        <v>1243</v>
      </c>
      <c r="AC98" s="248" t="s">
        <v>1126</v>
      </c>
      <c r="AD98" s="247" t="s">
        <v>1218</v>
      </c>
      <c r="AE98" s="249" t="e">
        <f t="shared" ref="AE98:AK98" si="16">AE81+AE82+AE83+AE85+AE89+AE90+AE91+AE93+AE94+AE95+AE96</f>
        <v>#REF!</v>
      </c>
      <c r="AF98" s="249" t="e">
        <f t="shared" si="16"/>
        <v>#REF!</v>
      </c>
      <c r="AG98" s="249" t="e">
        <f t="shared" si="16"/>
        <v>#REF!</v>
      </c>
      <c r="AH98" s="249" t="e">
        <f t="shared" si="16"/>
        <v>#REF!</v>
      </c>
      <c r="AI98" s="249" t="e">
        <f t="shared" si="16"/>
        <v>#REF!</v>
      </c>
      <c r="AJ98" s="249">
        <f t="shared" si="16"/>
        <v>0</v>
      </c>
      <c r="AK98" s="256" t="e">
        <f t="shared" si="16"/>
        <v>#REF!</v>
      </c>
      <c r="AL98" s="250" t="e">
        <f t="shared" ref="AL98:AL104" si="17">AK98-AI98</f>
        <v>#REF!</v>
      </c>
      <c r="AM98" s="250">
        <f t="shared" ref="AM98:AM104" si="18">IFERROR(IF(AND(AK98&lt;&gt;0,AH98=0),100,AK98/AH98*100-100),0)</f>
        <v>0</v>
      </c>
      <c r="AN98" s="256" t="e">
        <f>AN81+AN82+AN83+AN85+AN89+AN90+AN91+AN93+AN94+AN95+AN96</f>
        <v>#REF!</v>
      </c>
      <c r="AO98" s="257" t="e">
        <f>AO81+AO82+AO83+AO85+AO89+AO90+AO91+AO93+AO94+AO95+AO96</f>
        <v>#REF!</v>
      </c>
      <c r="AP98" s="257" t="e">
        <f>AP81+AP82+AP83+AP85+AP89+AP90+AP91+AP93+AP94+AP95+AP96</f>
        <v>#REF!</v>
      </c>
      <c r="AQ98" s="257" t="e">
        <f>AQ81+AQ82+AQ83+AQ85+AQ89+AQ90+AQ91+AQ93+AQ94+AQ95+AQ96</f>
        <v>#REF!</v>
      </c>
      <c r="AR98" s="257" t="e">
        <f>AR81+AR82+AR83+AR85+AR89+AR90+AR91+AR93+AR94+AR95+AR96</f>
        <v>#REF!</v>
      </c>
      <c r="AS98" s="251"/>
    </row>
    <row r="99" spans="4:45" ht="41.25" customHeight="1">
      <c r="D99" s="1">
        <v>55</v>
      </c>
      <c r="AB99" s="258" t="s">
        <v>532</v>
      </c>
      <c r="AC99" s="259" t="s">
        <v>1022</v>
      </c>
      <c r="AD99" s="258" t="s">
        <v>1218</v>
      </c>
      <c r="AE99" s="260" t="e">
        <f t="shared" ref="AE99:AK99" si="19">SUM(AE100:AE106)</f>
        <v>#REF!</v>
      </c>
      <c r="AF99" s="260" t="e">
        <f t="shared" si="19"/>
        <v>#REF!</v>
      </c>
      <c r="AG99" s="260" t="e">
        <f t="shared" si="19"/>
        <v>#REF!</v>
      </c>
      <c r="AH99" s="260" t="e">
        <f t="shared" si="19"/>
        <v>#REF!</v>
      </c>
      <c r="AI99" s="260" t="e">
        <f t="shared" si="19"/>
        <v>#REF!</v>
      </c>
      <c r="AJ99" s="260">
        <f t="shared" si="19"/>
        <v>0</v>
      </c>
      <c r="AK99" s="260" t="e">
        <f t="shared" si="19"/>
        <v>#REF!</v>
      </c>
      <c r="AL99" s="243" t="e">
        <f t="shared" si="17"/>
        <v>#REF!</v>
      </c>
      <c r="AM99" s="261">
        <f t="shared" si="18"/>
        <v>0</v>
      </c>
      <c r="AN99" s="260" t="e">
        <f>SUM(AN100:AN106)</f>
        <v>#REF!</v>
      </c>
      <c r="AO99" s="260">
        <f>SUM(AO100:AO106)</f>
        <v>0</v>
      </c>
      <c r="AP99" s="260">
        <f>SUM(AP100:AP106)</f>
        <v>0</v>
      </c>
      <c r="AQ99" s="260">
        <f>SUM(AQ100:AQ106)</f>
        <v>0</v>
      </c>
      <c r="AR99" s="260">
        <f>SUM(AR100:AR106)</f>
        <v>0</v>
      </c>
      <c r="AS99" s="262"/>
    </row>
    <row r="100" spans="4:45" ht="41.25" customHeight="1">
      <c r="D100" s="1">
        <v>55</v>
      </c>
      <c r="AB100" s="174" t="s">
        <v>637</v>
      </c>
      <c r="AC100" s="5" t="s">
        <v>1244</v>
      </c>
      <c r="AD100" s="174" t="s">
        <v>1218</v>
      </c>
      <c r="AE100" s="209" t="e">
        <f>#REF!</f>
        <v>#REF!</v>
      </c>
      <c r="AF100" s="209" t="e">
        <f>#REF!</f>
        <v>#REF!</v>
      </c>
      <c r="AG100" s="209" t="e">
        <f>#REF!</f>
        <v>#REF!</v>
      </c>
      <c r="AH100" s="209" t="e">
        <f>#REF!</f>
        <v>#REF!</v>
      </c>
      <c r="AI100" s="209" t="e">
        <f>#REF!</f>
        <v>#REF!</v>
      </c>
      <c r="AJ100" s="209"/>
      <c r="AK100" s="209" t="e">
        <f>#REF!</f>
        <v>#REF!</v>
      </c>
      <c r="AL100" s="243" t="e">
        <f t="shared" si="17"/>
        <v>#REF!</v>
      </c>
      <c r="AM100" s="243">
        <f t="shared" si="18"/>
        <v>0</v>
      </c>
      <c r="AN100" s="209" t="e">
        <f>AK100*$AI$110</f>
        <v>#REF!</v>
      </c>
      <c r="AO100" s="209"/>
      <c r="AP100" s="209"/>
      <c r="AQ100" s="209"/>
      <c r="AR100" s="209"/>
      <c r="AS100" s="263"/>
    </row>
    <row r="101" spans="4:45" ht="27" customHeight="1">
      <c r="D101" s="1">
        <v>36</v>
      </c>
      <c r="AB101" s="174" t="s">
        <v>642</v>
      </c>
      <c r="AC101" s="5" t="s">
        <v>1245</v>
      </c>
      <c r="AD101" s="174" t="s">
        <v>1218</v>
      </c>
      <c r="AE101" s="209" t="e">
        <f>#REF!</f>
        <v>#REF!</v>
      </c>
      <c r="AF101" s="209" t="e">
        <f>#REF!</f>
        <v>#REF!</v>
      </c>
      <c r="AG101" s="209" t="e">
        <f>#REF!</f>
        <v>#REF!</v>
      </c>
      <c r="AH101" s="209" t="e">
        <f>#REF!</f>
        <v>#REF!</v>
      </c>
      <c r="AI101" s="209" t="e">
        <f>#REF!</f>
        <v>#REF!</v>
      </c>
      <c r="AJ101" s="209"/>
      <c r="AK101" s="209" t="e">
        <f>#REF!</f>
        <v>#REF!</v>
      </c>
      <c r="AL101" s="243" t="e">
        <f t="shared" si="17"/>
        <v>#REF!</v>
      </c>
      <c r="AM101" s="243">
        <f t="shared" si="18"/>
        <v>0</v>
      </c>
      <c r="AN101" s="209" t="e">
        <f>AK101*$AI$110</f>
        <v>#REF!</v>
      </c>
      <c r="AO101" s="209"/>
      <c r="AP101" s="209"/>
      <c r="AQ101" s="209"/>
      <c r="AR101" s="209"/>
      <c r="AS101" s="242"/>
    </row>
    <row r="102" spans="4:45" ht="27" customHeight="1">
      <c r="D102" s="1">
        <v>36</v>
      </c>
      <c r="AB102" s="174" t="s">
        <v>647</v>
      </c>
      <c r="AC102" s="5" t="s">
        <v>1246</v>
      </c>
      <c r="AD102" s="174" t="s">
        <v>1218</v>
      </c>
      <c r="AE102" s="209" t="e">
        <f>#REF!</f>
        <v>#REF!</v>
      </c>
      <c r="AF102" s="209" t="e">
        <f>#REF!</f>
        <v>#REF!</v>
      </c>
      <c r="AG102" s="209" t="e">
        <f>#REF!</f>
        <v>#REF!</v>
      </c>
      <c r="AH102" s="209" t="e">
        <f>#REF!</f>
        <v>#REF!</v>
      </c>
      <c r="AI102" s="209" t="e">
        <f>#REF!</f>
        <v>#REF!</v>
      </c>
      <c r="AJ102" s="209"/>
      <c r="AK102" s="209" t="e">
        <f>#REF!</f>
        <v>#REF!</v>
      </c>
      <c r="AL102" s="243" t="e">
        <f t="shared" si="17"/>
        <v>#REF!</v>
      </c>
      <c r="AM102" s="243">
        <f t="shared" si="18"/>
        <v>0</v>
      </c>
      <c r="AN102" s="209" t="e">
        <f>AK102</f>
        <v>#REF!</v>
      </c>
      <c r="AO102" s="209"/>
      <c r="AP102" s="209"/>
      <c r="AQ102" s="209"/>
      <c r="AR102" s="209"/>
      <c r="AS102" s="242"/>
    </row>
    <row r="103" spans="4:45" ht="27" customHeight="1">
      <c r="D103" s="1">
        <v>36</v>
      </c>
      <c r="AB103" s="174" t="s">
        <v>652</v>
      </c>
      <c r="AC103" s="5" t="s">
        <v>1247</v>
      </c>
      <c r="AD103" s="174" t="s">
        <v>1218</v>
      </c>
      <c r="AE103" s="209" t="e">
        <f>#REF!</f>
        <v>#REF!</v>
      </c>
      <c r="AF103" s="209" t="e">
        <f>#REF!</f>
        <v>#REF!</v>
      </c>
      <c r="AG103" s="209" t="e">
        <f>#REF!</f>
        <v>#REF!</v>
      </c>
      <c r="AH103" s="209" t="e">
        <f>#REF!</f>
        <v>#REF!</v>
      </c>
      <c r="AI103" s="209" t="e">
        <f>#REF!</f>
        <v>#REF!</v>
      </c>
      <c r="AJ103" s="209"/>
      <c r="AK103" s="209" t="e">
        <f>#REF!</f>
        <v>#REF!</v>
      </c>
      <c r="AL103" s="243" t="e">
        <f t="shared" si="17"/>
        <v>#REF!</v>
      </c>
      <c r="AM103" s="243">
        <f t="shared" si="18"/>
        <v>0</v>
      </c>
      <c r="AN103" s="209" t="e">
        <f>AK103</f>
        <v>#REF!</v>
      </c>
      <c r="AO103" s="209"/>
      <c r="AP103" s="209"/>
      <c r="AQ103" s="209"/>
      <c r="AR103" s="209"/>
      <c r="AS103" s="242"/>
    </row>
    <row r="104" spans="4:45" ht="27" customHeight="1">
      <c r="D104" s="1">
        <v>36</v>
      </c>
      <c r="AB104" s="174" t="s">
        <v>656</v>
      </c>
      <c r="AC104" s="5" t="s">
        <v>1248</v>
      </c>
      <c r="AD104" s="174" t="s">
        <v>1218</v>
      </c>
      <c r="AE104" s="209" t="e">
        <f>#REF!</f>
        <v>#REF!</v>
      </c>
      <c r="AF104" s="209" t="e">
        <f>#REF!</f>
        <v>#REF!</v>
      </c>
      <c r="AG104" s="209" t="e">
        <f>#REF!</f>
        <v>#REF!</v>
      </c>
      <c r="AH104" s="209" t="e">
        <f>#REF!</f>
        <v>#REF!</v>
      </c>
      <c r="AI104" s="209" t="e">
        <f>#REF!</f>
        <v>#REF!</v>
      </c>
      <c r="AJ104" s="225"/>
      <c r="AK104" s="209" t="e">
        <f>#REF!</f>
        <v>#REF!</v>
      </c>
      <c r="AL104" s="243" t="e">
        <f t="shared" si="17"/>
        <v>#REF!</v>
      </c>
      <c r="AM104" s="243">
        <f t="shared" si="18"/>
        <v>0</v>
      </c>
      <c r="AN104" s="209" t="e">
        <f>AK104</f>
        <v>#REF!</v>
      </c>
      <c r="AO104" s="209"/>
      <c r="AP104" s="209"/>
      <c r="AQ104" s="209"/>
      <c r="AR104" s="209"/>
      <c r="AS104" s="242"/>
    </row>
    <row r="105" spans="4:45" ht="13.5" customHeight="1">
      <c r="D105" s="1">
        <v>18</v>
      </c>
      <c r="AB105" s="174" t="s">
        <v>912</v>
      </c>
      <c r="AC105" s="5" t="s">
        <v>1249</v>
      </c>
      <c r="AD105" s="174"/>
      <c r="AE105" s="209" t="e">
        <f>#REF!</f>
        <v>#REF!</v>
      </c>
      <c r="AF105" s="209" t="e">
        <f>#REF!</f>
        <v>#REF!</v>
      </c>
      <c r="AG105" s="209" t="e">
        <f>#REF!</f>
        <v>#REF!</v>
      </c>
      <c r="AH105" s="209" t="e">
        <f>#REF!</f>
        <v>#REF!</v>
      </c>
      <c r="AI105" s="209" t="e">
        <f>#REF!</f>
        <v>#REF!</v>
      </c>
      <c r="AJ105" s="225"/>
      <c r="AK105" s="209" t="e">
        <f>#REF!</f>
        <v>#REF!</v>
      </c>
      <c r="AL105" s="243"/>
      <c r="AM105" s="243"/>
      <c r="AN105" s="209" t="e">
        <f>AK105</f>
        <v>#REF!</v>
      </c>
      <c r="AO105" s="209"/>
      <c r="AP105" s="209"/>
      <c r="AQ105" s="209"/>
      <c r="AR105" s="209"/>
      <c r="AS105" s="242"/>
    </row>
    <row r="106" spans="4:45" ht="13.5" customHeight="1">
      <c r="D106" s="1">
        <v>18</v>
      </c>
      <c r="AB106" s="174" t="s">
        <v>913</v>
      </c>
      <c r="AC106" s="5" t="s">
        <v>1250</v>
      </c>
      <c r="AD106" s="174"/>
      <c r="AE106" s="209" t="e">
        <f>#REF!</f>
        <v>#REF!</v>
      </c>
      <c r="AF106" s="209" t="e">
        <f>#REF!</f>
        <v>#REF!</v>
      </c>
      <c r="AG106" s="209" t="e">
        <f>#REF!</f>
        <v>#REF!</v>
      </c>
      <c r="AH106" s="209" t="e">
        <f>#REF!</f>
        <v>#REF!</v>
      </c>
      <c r="AI106" s="209" t="e">
        <f>#REF!</f>
        <v>#REF!</v>
      </c>
      <c r="AJ106" s="225"/>
      <c r="AK106" s="209" t="e">
        <f>#REF!</f>
        <v>#REF!</v>
      </c>
      <c r="AL106" s="243"/>
      <c r="AM106" s="243"/>
      <c r="AN106" s="209" t="e">
        <f>AK106</f>
        <v>#REF!</v>
      </c>
      <c r="AO106" s="209"/>
      <c r="AP106" s="209"/>
      <c r="AQ106" s="209"/>
      <c r="AR106" s="209"/>
      <c r="AS106" s="242"/>
    </row>
    <row r="107" spans="4:45" ht="13.5" customHeight="1">
      <c r="D107" s="1">
        <v>18</v>
      </c>
      <c r="AB107" s="264" t="s">
        <v>534</v>
      </c>
      <c r="AC107" s="265" t="s">
        <v>1251</v>
      </c>
      <c r="AD107" s="264" t="s">
        <v>1218</v>
      </c>
      <c r="AE107" s="266" t="e">
        <f t="shared" ref="AE107:AK107" si="20">AE80+AE98+AE99</f>
        <v>#REF!</v>
      </c>
      <c r="AF107" s="266" t="e">
        <f t="shared" si="20"/>
        <v>#REF!</v>
      </c>
      <c r="AG107" s="266" t="e">
        <f t="shared" si="20"/>
        <v>#REF!</v>
      </c>
      <c r="AH107" s="266" t="e">
        <f t="shared" si="20"/>
        <v>#REF!</v>
      </c>
      <c r="AI107" s="266" t="e">
        <f t="shared" si="20"/>
        <v>#REF!</v>
      </c>
      <c r="AJ107" s="266">
        <f t="shared" si="20"/>
        <v>0</v>
      </c>
      <c r="AK107" s="266" t="e">
        <f t="shared" si="20"/>
        <v>#REF!</v>
      </c>
      <c r="AL107" s="207" t="e">
        <f>AK107-AI107</f>
        <v>#REF!</v>
      </c>
      <c r="AM107" s="207">
        <f>IFERROR(IF(AND(AK107&lt;&gt;0,AH107=0),100,AK107/AH107*100-100),0)</f>
        <v>0</v>
      </c>
      <c r="AN107" s="266" t="e">
        <f>AN80+AN98+AN99</f>
        <v>#REF!</v>
      </c>
      <c r="AO107" s="266" t="e">
        <f>AO80+AO98+AO99</f>
        <v>#REF!</v>
      </c>
      <c r="AP107" s="266" t="e">
        <f>AP80+AP98+AP99</f>
        <v>#REF!</v>
      </c>
      <c r="AQ107" s="266" t="e">
        <f>AQ80+AQ98+AQ99</f>
        <v>#REF!</v>
      </c>
      <c r="AR107" s="266" t="e">
        <f>AR80+AR98+AR99</f>
        <v>#REF!</v>
      </c>
      <c r="AS107" s="267"/>
    </row>
    <row r="108" spans="4:45" ht="13.5" customHeight="1">
      <c r="D108" s="1">
        <v>18</v>
      </c>
      <c r="AB108" s="264">
        <v>5</v>
      </c>
      <c r="AC108" s="5" t="s">
        <v>1252</v>
      </c>
      <c r="AD108" s="264"/>
      <c r="AE108" s="268"/>
      <c r="AF108" s="269"/>
      <c r="AG108" s="269"/>
      <c r="AH108" s="270">
        <f>IFERROR((AH107-AE107)/AE107,0)</f>
        <v>0</v>
      </c>
      <c r="AI108" s="270">
        <f>IFERROR((AI107-AH107)/AH107,0)</f>
        <v>0</v>
      </c>
      <c r="AJ108" s="269"/>
      <c r="AK108" s="270">
        <f>IFERROR((AK107-AH107)/AH107,0)</f>
        <v>0</v>
      </c>
      <c r="AL108" s="270"/>
      <c r="AM108" s="270"/>
      <c r="AN108" s="270"/>
      <c r="AO108" s="270">
        <f>IFERROR((AO107-AK107)/AK107,0)</f>
        <v>0</v>
      </c>
      <c r="AP108" s="270">
        <f>IFERROR((AP107-AO107)/AO107,0)</f>
        <v>0</v>
      </c>
      <c r="AQ108" s="270">
        <f>IFERROR((AQ107-AP107)/AP107,0)</f>
        <v>0</v>
      </c>
      <c r="AR108" s="270">
        <f>IFERROR((AR107-AQ107)/AQ107,0)</f>
        <v>0</v>
      </c>
      <c r="AS108" s="267"/>
    </row>
    <row r="109" spans="4:45" ht="13.5" customHeight="1">
      <c r="D109" s="1">
        <v>18</v>
      </c>
      <c r="AB109" s="264" t="s">
        <v>541</v>
      </c>
      <c r="AC109" s="265" t="s">
        <v>1253</v>
      </c>
      <c r="AD109" s="264" t="s">
        <v>1218</v>
      </c>
      <c r="AE109" s="271"/>
      <c r="AF109" s="271"/>
      <c r="AG109" s="271"/>
      <c r="AH109" s="271"/>
      <c r="AI109" s="271"/>
      <c r="AJ109" s="271"/>
      <c r="AK109" s="271" t="e">
        <f>AN107</f>
        <v>#REF!</v>
      </c>
      <c r="AL109" s="260" t="e">
        <f>AK109-AI109</f>
        <v>#REF!</v>
      </c>
      <c r="AM109" s="260">
        <f>IFERROR(IF(AND(AK109&lt;&gt;0,AH109=0),100,AK109/AH109*100-100),0)</f>
        <v>0</v>
      </c>
      <c r="AN109" s="260"/>
      <c r="AO109" s="271" t="e">
        <f>AO107*$AI$110</f>
        <v>#REF!</v>
      </c>
      <c r="AP109" s="271" t="e">
        <f>AP107*$AI$110</f>
        <v>#REF!</v>
      </c>
      <c r="AQ109" s="271" t="e">
        <f>AQ107*$AI$110</f>
        <v>#REF!</v>
      </c>
      <c r="AR109" s="271" t="e">
        <f>AR107*$AI$110</f>
        <v>#REF!</v>
      </c>
      <c r="AS109" s="267"/>
    </row>
    <row r="110" spans="4:45" ht="13.5" customHeight="1">
      <c r="D110" s="1">
        <v>18</v>
      </c>
      <c r="AB110" s="264" t="s">
        <v>543</v>
      </c>
      <c r="AC110" s="5" t="s">
        <v>1252</v>
      </c>
      <c r="AD110" s="264"/>
      <c r="AE110" s="268"/>
      <c r="AF110" s="269"/>
      <c r="AG110" s="269"/>
      <c r="AH110" s="270">
        <f>IFERROR((AH109-AE109)/AE109,0)</f>
        <v>0</v>
      </c>
      <c r="AI110" s="270">
        <f>IFERROR((AI109-AH109)/AH109,0)</f>
        <v>0</v>
      </c>
      <c r="AJ110" s="269"/>
      <c r="AK110" s="270">
        <f>IFERROR((AK109-AH109)/AH109,0)</f>
        <v>0</v>
      </c>
      <c r="AL110" s="270"/>
      <c r="AM110" s="270"/>
      <c r="AN110" s="270"/>
      <c r="AO110" s="270">
        <f>IFERROR((AO109-AK109)/AK109,0)</f>
        <v>0</v>
      </c>
      <c r="AP110" s="270">
        <f>IFERROR((AP109-AO109)/AO109,0)</f>
        <v>0</v>
      </c>
      <c r="AQ110" s="270">
        <f>IFERROR((AQ109-AP109)/AP109,0)</f>
        <v>0</v>
      </c>
      <c r="AR110" s="270">
        <f>IFERROR((AR109-AQ109)/AQ109,0)</f>
        <v>0</v>
      </c>
      <c r="AS110" s="267"/>
    </row>
    <row r="111" spans="4:45" ht="13.5" customHeight="1">
      <c r="D111" s="1">
        <v>18</v>
      </c>
    </row>
    <row r="112" spans="4:45" ht="13.5" customHeight="1">
      <c r="D112" s="1">
        <v>18</v>
      </c>
      <c r="AD112" s="5"/>
      <c r="AE112" s="176" t="str">
        <f>"утв. "&amp;PRD-2</f>
        <v>утв. 2024</v>
      </c>
      <c r="AF112" s="174" t="s">
        <v>1254</v>
      </c>
      <c r="AG112" s="176" t="str">
        <f>"утв. "&amp;PRD-1</f>
        <v>утв. 2025</v>
      </c>
      <c r="AH112" s="174" t="s">
        <v>1255</v>
      </c>
      <c r="AI112" s="174" t="s">
        <v>1256</v>
      </c>
    </row>
    <row r="113" spans="4:56" ht="13.5" customHeight="1">
      <c r="D113" s="1">
        <v>18</v>
      </c>
      <c r="AD113" s="272" t="s">
        <v>1257</v>
      </c>
      <c r="AE113" s="209" t="e">
        <f>#REF!+#REF!</f>
        <v>#REF!</v>
      </c>
      <c r="AF113" s="209"/>
      <c r="AG113" s="209" t="e">
        <f>#REF!+#REF!</f>
        <v>#REF!</v>
      </c>
      <c r="AH113" s="209" t="e">
        <f>#REF!</f>
        <v>#REF!</v>
      </c>
      <c r="AI113" s="209"/>
    </row>
    <row r="114" spans="4:56" ht="13.5" customHeight="1">
      <c r="D114" s="1">
        <v>18</v>
      </c>
      <c r="AD114" s="272" t="s">
        <v>1258</v>
      </c>
      <c r="AE114" s="209" t="e">
        <f>#REF!</f>
        <v>#REF!</v>
      </c>
      <c r="AF114" s="209"/>
      <c r="AG114" s="209" t="e">
        <f>#REF!</f>
        <v>#REF!</v>
      </c>
      <c r="AH114" s="209" t="e">
        <f>#REF!</f>
        <v>#REF!</v>
      </c>
      <c r="AI114" s="209"/>
    </row>
    <row r="115" spans="4:56" ht="13.5" customHeight="1">
      <c r="D115" s="1">
        <v>18</v>
      </c>
      <c r="AD115" s="272" t="s">
        <v>1259</v>
      </c>
      <c r="AE115" s="209" t="e">
        <f>#REF!</f>
        <v>#REF!</v>
      </c>
      <c r="AF115" s="209"/>
      <c r="AG115" s="209" t="e">
        <f>#REF!</f>
        <v>#REF!</v>
      </c>
      <c r="AH115" s="209" t="e">
        <f>#REF!</f>
        <v>#REF!</v>
      </c>
      <c r="AI115" s="209"/>
    </row>
    <row r="116" spans="4:56" ht="13.5" customHeight="1">
      <c r="D116" s="1">
        <v>18</v>
      </c>
      <c r="AD116" s="272" t="s">
        <v>1260</v>
      </c>
      <c r="AE116" s="270">
        <f>IFERROR(AE115/AE113,0)</f>
        <v>0</v>
      </c>
      <c r="AF116" s="270">
        <f>IFERROR(AF115/AF113,0)</f>
        <v>0</v>
      </c>
      <c r="AG116" s="270">
        <f>IFERROR(AG115/AG113,0)</f>
        <v>0</v>
      </c>
      <c r="AH116" s="270">
        <f>IFERROR(AH115/AH113,0)</f>
        <v>0</v>
      </c>
      <c r="AI116" s="270">
        <f>IFERROR(AI115/AI113,0)</f>
        <v>0</v>
      </c>
      <c r="AO116" s="273">
        <f>IFERROR((AK107-AK99)/(AH107-AH99)-1,0)</f>
        <v>0</v>
      </c>
    </row>
    <row r="117" spans="4:56" ht="13.5" customHeight="1">
      <c r="D117" s="1">
        <v>18</v>
      </c>
      <c r="AD117" s="5"/>
      <c r="AE117" s="5"/>
      <c r="AF117" s="5"/>
      <c r="AG117" s="5"/>
      <c r="AH117" s="5"/>
      <c r="AI117" s="5"/>
    </row>
    <row r="118" spans="4:56" ht="57.75" customHeight="1">
      <c r="D118" s="1">
        <v>77</v>
      </c>
      <c r="AD118" s="5" t="s">
        <v>1261</v>
      </c>
      <c r="AE118" s="270">
        <f>IFERROR(AE89/AE63,0)</f>
        <v>0</v>
      </c>
      <c r="AF118" s="270">
        <f>IFERROR(AF89/AF63,0)</f>
        <v>0</v>
      </c>
      <c r="AG118" s="270">
        <f>IFERROR(AH89/AH63,0)</f>
        <v>0</v>
      </c>
      <c r="AH118" s="270">
        <f>IFERROR(AH89/AH63,0)</f>
        <v>0</v>
      </c>
      <c r="AI118" s="270">
        <f>IFERROR(AH89/AH63,0)</f>
        <v>0</v>
      </c>
      <c r="AQ118" s="274" t="e">
        <f>AG39</f>
        <v>#REF!</v>
      </c>
      <c r="AR118" s="275" t="s">
        <v>1262</v>
      </c>
    </row>
    <row r="119" spans="4:56" ht="13.5" customHeight="1">
      <c r="D119" s="1">
        <v>18</v>
      </c>
    </row>
    <row r="120" spans="4:56" ht="24" customHeight="1">
      <c r="D120" s="1">
        <v>32</v>
      </c>
      <c r="AB120" s="862" t="s">
        <v>1263</v>
      </c>
      <c r="AC120" s="862"/>
    </row>
    <row r="121" spans="4:56" ht="13.5" customHeight="1">
      <c r="D121" s="1">
        <v>18</v>
      </c>
      <c r="AB121" s="858" t="s">
        <v>509</v>
      </c>
      <c r="AC121" s="858" t="s">
        <v>526</v>
      </c>
      <c r="AD121" s="858" t="s">
        <v>1040</v>
      </c>
      <c r="AE121" s="868">
        <f>PRD-6</f>
        <v>2020</v>
      </c>
      <c r="AF121" s="869"/>
      <c r="AG121" s="869"/>
      <c r="AH121" s="869"/>
      <c r="AI121" s="869"/>
      <c r="AJ121" s="868">
        <f>PRD-5</f>
        <v>2021</v>
      </c>
      <c r="AK121" s="869"/>
      <c r="AL121" s="869"/>
      <c r="AM121" s="869"/>
      <c r="AN121" s="869"/>
      <c r="AO121" s="868">
        <f>PRD-4</f>
        <v>2022</v>
      </c>
      <c r="AP121" s="869"/>
      <c r="AQ121" s="869"/>
      <c r="AR121" s="869"/>
      <c r="AS121" s="869"/>
      <c r="AT121" s="868">
        <f>PRD-3</f>
        <v>2023</v>
      </c>
      <c r="AU121" s="869"/>
      <c r="AV121" s="869"/>
      <c r="AW121" s="869"/>
      <c r="AX121" s="869"/>
      <c r="AY121" s="868">
        <f>PRD-2</f>
        <v>2024</v>
      </c>
      <c r="AZ121" s="869"/>
      <c r="BA121" s="869"/>
      <c r="BB121" s="869"/>
      <c r="BC121" s="869"/>
      <c r="BD121" s="875" t="s">
        <v>1216</v>
      </c>
    </row>
    <row r="122" spans="4:56" ht="41.25" customHeight="1">
      <c r="D122" s="1">
        <v>55</v>
      </c>
      <c r="AB122" s="858"/>
      <c r="AC122" s="858"/>
      <c r="AD122" s="858"/>
      <c r="AE122" s="206" t="s">
        <v>752</v>
      </c>
      <c r="AF122" s="206" t="s">
        <v>1264</v>
      </c>
      <c r="AG122" s="206" t="s">
        <v>1265</v>
      </c>
      <c r="AH122" s="206" t="s">
        <v>1266</v>
      </c>
      <c r="AI122" s="206" t="s">
        <v>941</v>
      </c>
      <c r="AJ122" s="206" t="s">
        <v>752</v>
      </c>
      <c r="AK122" s="206" t="s">
        <v>1264</v>
      </c>
      <c r="AL122" s="206" t="s">
        <v>1265</v>
      </c>
      <c r="AM122" s="206" t="s">
        <v>1266</v>
      </c>
      <c r="AN122" s="206" t="s">
        <v>941</v>
      </c>
      <c r="AO122" s="206" t="s">
        <v>752</v>
      </c>
      <c r="AP122" s="206" t="s">
        <v>1264</v>
      </c>
      <c r="AQ122" s="206" t="s">
        <v>1265</v>
      </c>
      <c r="AR122" s="206" t="s">
        <v>1266</v>
      </c>
      <c r="AS122" s="206" t="s">
        <v>941</v>
      </c>
      <c r="AT122" s="206" t="s">
        <v>752</v>
      </c>
      <c r="AU122" s="206" t="s">
        <v>1264</v>
      </c>
      <c r="AV122" s="206" t="s">
        <v>1265</v>
      </c>
      <c r="AW122" s="206" t="s">
        <v>1266</v>
      </c>
      <c r="AX122" s="206" t="s">
        <v>941</v>
      </c>
      <c r="AY122" s="206" t="s">
        <v>752</v>
      </c>
      <c r="AZ122" s="206" t="s">
        <v>1264</v>
      </c>
      <c r="BA122" s="206" t="s">
        <v>1265</v>
      </c>
      <c r="BB122" s="206" t="s">
        <v>1266</v>
      </c>
      <c r="BC122" s="206" t="s">
        <v>941</v>
      </c>
      <c r="BD122" s="876"/>
    </row>
    <row r="123" spans="4:56" ht="13.5" customHeight="1">
      <c r="D123" s="1">
        <v>18</v>
      </c>
      <c r="AB123" s="174" t="s">
        <v>618</v>
      </c>
      <c r="AC123" s="5" t="s">
        <v>1217</v>
      </c>
      <c r="AD123" s="176" t="s">
        <v>1218</v>
      </c>
      <c r="AE123" s="207">
        <f t="shared" ref="AE123:BC123" si="21">AE124+AE125</f>
        <v>0</v>
      </c>
      <c r="AF123" s="207">
        <f t="shared" si="21"/>
        <v>0</v>
      </c>
      <c r="AG123" s="207">
        <f t="shared" si="21"/>
        <v>0</v>
      </c>
      <c r="AH123" s="207">
        <f t="shared" si="21"/>
        <v>0</v>
      </c>
      <c r="AI123" s="207">
        <f t="shared" si="21"/>
        <v>0</v>
      </c>
      <c r="AJ123" s="207">
        <f t="shared" si="21"/>
        <v>0</v>
      </c>
      <c r="AK123" s="207">
        <f t="shared" si="21"/>
        <v>0</v>
      </c>
      <c r="AL123" s="207">
        <f t="shared" si="21"/>
        <v>0</v>
      </c>
      <c r="AM123" s="207">
        <f t="shared" si="21"/>
        <v>0</v>
      </c>
      <c r="AN123" s="207">
        <f t="shared" si="21"/>
        <v>0</v>
      </c>
      <c r="AO123" s="207">
        <f t="shared" si="21"/>
        <v>0</v>
      </c>
      <c r="AP123" s="207">
        <f t="shared" si="21"/>
        <v>0</v>
      </c>
      <c r="AQ123" s="207" t="e">
        <f t="shared" si="21"/>
        <v>#REF!</v>
      </c>
      <c r="AR123" s="207" t="e">
        <f t="shared" si="21"/>
        <v>#REF!</v>
      </c>
      <c r="AS123" s="207" t="e">
        <f t="shared" si="21"/>
        <v>#REF!</v>
      </c>
      <c r="AT123" s="207">
        <f t="shared" si="21"/>
        <v>0</v>
      </c>
      <c r="AU123" s="207">
        <f t="shared" si="21"/>
        <v>0</v>
      </c>
      <c r="AV123" s="207" t="e">
        <f t="shared" si="21"/>
        <v>#REF!</v>
      </c>
      <c r="AW123" s="207" t="e">
        <f t="shared" si="21"/>
        <v>#REF!</v>
      </c>
      <c r="AX123" s="207" t="e">
        <f t="shared" si="21"/>
        <v>#REF!</v>
      </c>
      <c r="AY123" s="207" t="e">
        <f t="shared" si="21"/>
        <v>#REF!</v>
      </c>
      <c r="AZ123" s="207">
        <f t="shared" si="21"/>
        <v>0</v>
      </c>
      <c r="BA123" s="207" t="e">
        <f t="shared" si="21"/>
        <v>#REF!</v>
      </c>
      <c r="BB123" s="207" t="e">
        <f t="shared" si="21"/>
        <v>#REF!</v>
      </c>
      <c r="BC123" s="207" t="e">
        <f t="shared" si="21"/>
        <v>#REF!</v>
      </c>
      <c r="BD123" s="242"/>
    </row>
    <row r="124" spans="4:56" ht="27" customHeight="1">
      <c r="D124" s="1">
        <v>36</v>
      </c>
      <c r="AB124" s="174" t="s">
        <v>930</v>
      </c>
      <c r="AC124" s="5" t="s">
        <v>760</v>
      </c>
      <c r="AD124" s="176" t="s">
        <v>1218</v>
      </c>
      <c r="AE124" s="209"/>
      <c r="AF124" s="209"/>
      <c r="AG124" s="209"/>
      <c r="AH124" s="209"/>
      <c r="AI124" s="207">
        <f>AG124-AE124</f>
        <v>0</v>
      </c>
      <c r="AJ124" s="209"/>
      <c r="AK124" s="209"/>
      <c r="AL124" s="209"/>
      <c r="AM124" s="209"/>
      <c r="AN124" s="207">
        <f>AL124-AJ124</f>
        <v>0</v>
      </c>
      <c r="AO124" s="209"/>
      <c r="AP124" s="209"/>
      <c r="AQ124" s="209" t="e">
        <f>#REF!</f>
        <v>#REF!</v>
      </c>
      <c r="AR124" s="209" t="e">
        <f>#REF!</f>
        <v>#REF!</v>
      </c>
      <c r="AS124" s="207" t="e">
        <f>AQ124-AO124</f>
        <v>#REF!</v>
      </c>
      <c r="AT124" s="209"/>
      <c r="AU124" s="209"/>
      <c r="AV124" s="209" t="e">
        <f>#REF!</f>
        <v>#REF!</v>
      </c>
      <c r="AW124" s="209" t="e">
        <f>#REF!</f>
        <v>#REF!</v>
      </c>
      <c r="AX124" s="207" t="e">
        <f>AV124-AT124</f>
        <v>#REF!</v>
      </c>
      <c r="AY124" s="209" t="e">
        <f>#REF!</f>
        <v>#REF!</v>
      </c>
      <c r="AZ124" s="209"/>
      <c r="BA124" s="209" t="e">
        <f>#REF!</f>
        <v>#REF!</v>
      </c>
      <c r="BB124" s="209" t="e">
        <f>#REF!</f>
        <v>#REF!</v>
      </c>
      <c r="BC124" s="207" t="e">
        <f>BA124-AY124</f>
        <v>#REF!</v>
      </c>
      <c r="BD124" s="242"/>
    </row>
    <row r="125" spans="4:56" ht="41.25" customHeight="1">
      <c r="D125" s="1">
        <v>55</v>
      </c>
      <c r="AB125" s="174" t="s">
        <v>931</v>
      </c>
      <c r="AC125" s="5" t="s">
        <v>761</v>
      </c>
      <c r="AD125" s="176" t="s">
        <v>1218</v>
      </c>
      <c r="AE125" s="209"/>
      <c r="AF125" s="209"/>
      <c r="AG125" s="209"/>
      <c r="AH125" s="209"/>
      <c r="AI125" s="207">
        <f>AG125-AE125</f>
        <v>0</v>
      </c>
      <c r="AJ125" s="209"/>
      <c r="AK125" s="209"/>
      <c r="AL125" s="209"/>
      <c r="AM125" s="209"/>
      <c r="AN125" s="207">
        <f>AL125-AJ125</f>
        <v>0</v>
      </c>
      <c r="AO125" s="209"/>
      <c r="AP125" s="209"/>
      <c r="AQ125" s="209" t="e">
        <f>#REF!</f>
        <v>#REF!</v>
      </c>
      <c r="AR125" s="209" t="e">
        <f>#REF!</f>
        <v>#REF!</v>
      </c>
      <c r="AS125" s="207" t="e">
        <f>AQ125-AO125</f>
        <v>#REF!</v>
      </c>
      <c r="AT125" s="209"/>
      <c r="AU125" s="209"/>
      <c r="AV125" s="209" t="e">
        <f>#REF!</f>
        <v>#REF!</v>
      </c>
      <c r="AW125" s="209" t="e">
        <f>#REF!</f>
        <v>#REF!</v>
      </c>
      <c r="AX125" s="207" t="e">
        <f>AV125-AT125</f>
        <v>#REF!</v>
      </c>
      <c r="AY125" s="209" t="e">
        <f>#REF!</f>
        <v>#REF!</v>
      </c>
      <c r="AZ125" s="209"/>
      <c r="BA125" s="209" t="e">
        <f>#REF!</f>
        <v>#REF!</v>
      </c>
      <c r="BB125" s="209" t="e">
        <f>#REF!</f>
        <v>#REF!</v>
      </c>
      <c r="BC125" s="207" t="e">
        <f>BA125-AY125</f>
        <v>#REF!</v>
      </c>
      <c r="BD125" s="242"/>
    </row>
    <row r="126" spans="4:56" ht="13.5" customHeight="1">
      <c r="D126" s="1">
        <v>18</v>
      </c>
      <c r="AB126" s="174" t="s">
        <v>622</v>
      </c>
      <c r="AC126" s="5" t="s">
        <v>560</v>
      </c>
      <c r="AD126" s="176" t="s">
        <v>1218</v>
      </c>
      <c r="AE126" s="209"/>
      <c r="AF126" s="209"/>
      <c r="AG126" s="209"/>
      <c r="AH126" s="209"/>
      <c r="AI126" s="207">
        <f>AG126-AE126</f>
        <v>0</v>
      </c>
      <c r="AJ126" s="209"/>
      <c r="AK126" s="209"/>
      <c r="AL126" s="209"/>
      <c r="AM126" s="209"/>
      <c r="AN126" s="207">
        <f>AL126-AJ126</f>
        <v>0</v>
      </c>
      <c r="AO126" s="209"/>
      <c r="AP126" s="209"/>
      <c r="AQ126" s="209" t="e">
        <f>#REF!</f>
        <v>#REF!</v>
      </c>
      <c r="AR126" s="209" t="e">
        <f>#REF!</f>
        <v>#REF!</v>
      </c>
      <c r="AS126" s="207" t="e">
        <f>AQ126-AO126</f>
        <v>#REF!</v>
      </c>
      <c r="AT126" s="209"/>
      <c r="AU126" s="209"/>
      <c r="AV126" s="209" t="e">
        <f>#REF!</f>
        <v>#REF!</v>
      </c>
      <c r="AW126" s="209" t="e">
        <f>#REF!</f>
        <v>#REF!</v>
      </c>
      <c r="AX126" s="207" t="e">
        <f>AV126-AT126</f>
        <v>#REF!</v>
      </c>
      <c r="AY126" s="209" t="e">
        <f>#REF!</f>
        <v>#REF!</v>
      </c>
      <c r="AZ126" s="209"/>
      <c r="BA126" s="209" t="e">
        <f>#REF!</f>
        <v>#REF!</v>
      </c>
      <c r="BB126" s="209" t="e">
        <f>#REF!</f>
        <v>#REF!</v>
      </c>
      <c r="BC126" s="207" t="e">
        <f>BA126-AY126</f>
        <v>#REF!</v>
      </c>
      <c r="BD126" s="242"/>
    </row>
    <row r="127" spans="4:56" ht="13.5" customHeight="1">
      <c r="D127" s="1">
        <v>18</v>
      </c>
      <c r="AB127" s="174" t="s">
        <v>625</v>
      </c>
      <c r="AC127" s="5" t="s">
        <v>1057</v>
      </c>
      <c r="AD127" s="176" t="s">
        <v>1218</v>
      </c>
      <c r="AE127" s="207">
        <f t="shared" ref="AE127:BC127" si="22">AE128+AE129+AE136+AE137+AE138+AE139+AE140</f>
        <v>0</v>
      </c>
      <c r="AF127" s="207">
        <f t="shared" si="22"/>
        <v>0</v>
      </c>
      <c r="AG127" s="207">
        <f t="shared" si="22"/>
        <v>0</v>
      </c>
      <c r="AH127" s="207">
        <f t="shared" si="22"/>
        <v>0</v>
      </c>
      <c r="AI127" s="207">
        <f t="shared" si="22"/>
        <v>0</v>
      </c>
      <c r="AJ127" s="207">
        <f t="shared" si="22"/>
        <v>0</v>
      </c>
      <c r="AK127" s="207">
        <f t="shared" si="22"/>
        <v>0</v>
      </c>
      <c r="AL127" s="207">
        <f t="shared" si="22"/>
        <v>0</v>
      </c>
      <c r="AM127" s="207">
        <f t="shared" si="22"/>
        <v>0</v>
      </c>
      <c r="AN127" s="207">
        <f t="shared" si="22"/>
        <v>0</v>
      </c>
      <c r="AO127" s="207">
        <f t="shared" si="22"/>
        <v>0</v>
      </c>
      <c r="AP127" s="207">
        <f t="shared" si="22"/>
        <v>0</v>
      </c>
      <c r="AQ127" s="207" t="e">
        <f t="shared" si="22"/>
        <v>#REF!</v>
      </c>
      <c r="AR127" s="207" t="e">
        <f t="shared" si="22"/>
        <v>#REF!</v>
      </c>
      <c r="AS127" s="207" t="e">
        <f t="shared" si="22"/>
        <v>#REF!</v>
      </c>
      <c r="AT127" s="207">
        <f t="shared" si="22"/>
        <v>0</v>
      </c>
      <c r="AU127" s="207">
        <f t="shared" si="22"/>
        <v>0</v>
      </c>
      <c r="AV127" s="207" t="e">
        <f t="shared" si="22"/>
        <v>#REF!</v>
      </c>
      <c r="AW127" s="207" t="e">
        <f t="shared" si="22"/>
        <v>#REF!</v>
      </c>
      <c r="AX127" s="207" t="e">
        <f t="shared" si="22"/>
        <v>#REF!</v>
      </c>
      <c r="AY127" s="207" t="e">
        <f t="shared" si="22"/>
        <v>#REF!</v>
      </c>
      <c r="AZ127" s="207">
        <f t="shared" si="22"/>
        <v>0</v>
      </c>
      <c r="BA127" s="207" t="e">
        <f t="shared" si="22"/>
        <v>#REF!</v>
      </c>
      <c r="BB127" s="207" t="e">
        <f t="shared" si="22"/>
        <v>#REF!</v>
      </c>
      <c r="BC127" s="207" t="e">
        <f t="shared" si="22"/>
        <v>#REF!</v>
      </c>
      <c r="BD127" s="242"/>
    </row>
    <row r="128" spans="4:56" ht="13.5" customHeight="1">
      <c r="D128" s="1">
        <v>18</v>
      </c>
      <c r="AB128" s="174" t="s">
        <v>1221</v>
      </c>
      <c r="AC128" s="5" t="s">
        <v>1059</v>
      </c>
      <c r="AD128" s="176" t="s">
        <v>1218</v>
      </c>
      <c r="AE128" s="209"/>
      <c r="AF128" s="209"/>
      <c r="AG128" s="209"/>
      <c r="AH128" s="209"/>
      <c r="AI128" s="207">
        <f>AG128-AE128</f>
        <v>0</v>
      </c>
      <c r="AJ128" s="209"/>
      <c r="AK128" s="209"/>
      <c r="AL128" s="209"/>
      <c r="AM128" s="209"/>
      <c r="AN128" s="207">
        <f>AL128-AJ128</f>
        <v>0</v>
      </c>
      <c r="AO128" s="209"/>
      <c r="AP128" s="209"/>
      <c r="AQ128" s="209" t="e">
        <f>#REF!</f>
        <v>#REF!</v>
      </c>
      <c r="AR128" s="209" t="e">
        <f>#REF!</f>
        <v>#REF!</v>
      </c>
      <c r="AS128" s="207" t="e">
        <f>AQ128-AO128</f>
        <v>#REF!</v>
      </c>
      <c r="AT128" s="209"/>
      <c r="AU128" s="209"/>
      <c r="AV128" s="209" t="e">
        <f>#REF!</f>
        <v>#REF!</v>
      </c>
      <c r="AW128" s="209" t="e">
        <f>#REF!</f>
        <v>#REF!</v>
      </c>
      <c r="AX128" s="207" t="e">
        <f>AV128-AT128</f>
        <v>#REF!</v>
      </c>
      <c r="AY128" s="209" t="e">
        <f>#REF!</f>
        <v>#REF!</v>
      </c>
      <c r="AZ128" s="209"/>
      <c r="BA128" s="209" t="e">
        <f>#REF!</f>
        <v>#REF!</v>
      </c>
      <c r="BB128" s="209" t="e">
        <f>#REF!</f>
        <v>#REF!</v>
      </c>
      <c r="BC128" s="207" t="e">
        <f>BA128-AY128</f>
        <v>#REF!</v>
      </c>
      <c r="BD128" s="242"/>
    </row>
    <row r="129" spans="4:56" ht="13.5" customHeight="1">
      <c r="D129" s="1">
        <v>18</v>
      </c>
      <c r="AB129" s="174" t="s">
        <v>1222</v>
      </c>
      <c r="AC129" s="5" t="s">
        <v>964</v>
      </c>
      <c r="AD129" s="176" t="s">
        <v>1218</v>
      </c>
      <c r="AE129" s="207">
        <f t="shared" ref="AE129:BC129" si="23">AE130+AE131+AE132+AE133+AE134+AE135</f>
        <v>0</v>
      </c>
      <c r="AF129" s="207">
        <f t="shared" si="23"/>
        <v>0</v>
      </c>
      <c r="AG129" s="207">
        <f t="shared" si="23"/>
        <v>0</v>
      </c>
      <c r="AH129" s="207">
        <f t="shared" si="23"/>
        <v>0</v>
      </c>
      <c r="AI129" s="207">
        <f t="shared" si="23"/>
        <v>0</v>
      </c>
      <c r="AJ129" s="207">
        <f t="shared" si="23"/>
        <v>0</v>
      </c>
      <c r="AK129" s="207">
        <f t="shared" si="23"/>
        <v>0</v>
      </c>
      <c r="AL129" s="207">
        <f t="shared" si="23"/>
        <v>0</v>
      </c>
      <c r="AM129" s="207">
        <f t="shared" si="23"/>
        <v>0</v>
      </c>
      <c r="AN129" s="207">
        <f t="shared" si="23"/>
        <v>0</v>
      </c>
      <c r="AO129" s="207">
        <f t="shared" si="23"/>
        <v>0</v>
      </c>
      <c r="AP129" s="207">
        <f t="shared" si="23"/>
        <v>0</v>
      </c>
      <c r="AQ129" s="207" t="e">
        <f t="shared" si="23"/>
        <v>#REF!</v>
      </c>
      <c r="AR129" s="207" t="e">
        <f t="shared" si="23"/>
        <v>#REF!</v>
      </c>
      <c r="AS129" s="207" t="e">
        <f t="shared" si="23"/>
        <v>#REF!</v>
      </c>
      <c r="AT129" s="207">
        <f t="shared" si="23"/>
        <v>0</v>
      </c>
      <c r="AU129" s="207">
        <f t="shared" si="23"/>
        <v>0</v>
      </c>
      <c r="AV129" s="207" t="e">
        <f t="shared" si="23"/>
        <v>#REF!</v>
      </c>
      <c r="AW129" s="207" t="e">
        <f t="shared" si="23"/>
        <v>#REF!</v>
      </c>
      <c r="AX129" s="207" t="e">
        <f t="shared" si="23"/>
        <v>#REF!</v>
      </c>
      <c r="AY129" s="207" t="e">
        <f t="shared" si="23"/>
        <v>#REF!</v>
      </c>
      <c r="AZ129" s="207">
        <f t="shared" si="23"/>
        <v>0</v>
      </c>
      <c r="BA129" s="207" t="e">
        <f t="shared" si="23"/>
        <v>#REF!</v>
      </c>
      <c r="BB129" s="207" t="e">
        <f t="shared" si="23"/>
        <v>#REF!</v>
      </c>
      <c r="BC129" s="207" t="e">
        <f t="shared" si="23"/>
        <v>#REF!</v>
      </c>
      <c r="BD129" s="242"/>
    </row>
    <row r="130" spans="4:56" ht="13.5" customHeight="1">
      <c r="D130" s="1">
        <v>18</v>
      </c>
      <c r="AB130" s="174" t="s">
        <v>1223</v>
      </c>
      <c r="AC130" s="5" t="s">
        <v>1224</v>
      </c>
      <c r="AD130" s="176" t="s">
        <v>1218</v>
      </c>
      <c r="AE130" s="209"/>
      <c r="AF130" s="209"/>
      <c r="AG130" s="209"/>
      <c r="AH130" s="209"/>
      <c r="AI130" s="207">
        <f t="shared" ref="AI130:AI142" si="24">AG130-AE130</f>
        <v>0</v>
      </c>
      <c r="AJ130" s="209"/>
      <c r="AK130" s="209"/>
      <c r="AL130" s="209"/>
      <c r="AM130" s="209"/>
      <c r="AN130" s="207">
        <f t="shared" ref="AN130:AN142" si="25">AL130-AJ130</f>
        <v>0</v>
      </c>
      <c r="AO130" s="209"/>
      <c r="AP130" s="209"/>
      <c r="AQ130" s="209" t="e">
        <f>#REF!</f>
        <v>#REF!</v>
      </c>
      <c r="AR130" s="209" t="e">
        <f>#REF!</f>
        <v>#REF!</v>
      </c>
      <c r="AS130" s="207" t="e">
        <f t="shared" ref="AS130:AS142" si="26">AQ130-AO130</f>
        <v>#REF!</v>
      </c>
      <c r="AT130" s="209"/>
      <c r="AU130" s="209"/>
      <c r="AV130" s="209" t="e">
        <f>#REF!</f>
        <v>#REF!</v>
      </c>
      <c r="AW130" s="209" t="e">
        <f>#REF!</f>
        <v>#REF!</v>
      </c>
      <c r="AX130" s="207" t="e">
        <f t="shared" ref="AX130:AX142" si="27">AV130-AT130</f>
        <v>#REF!</v>
      </c>
      <c r="AY130" s="209" t="e">
        <f>#REF!</f>
        <v>#REF!</v>
      </c>
      <c r="AZ130" s="209"/>
      <c r="BA130" s="209" t="e">
        <f>#REF!</f>
        <v>#REF!</v>
      </c>
      <c r="BB130" s="209" t="e">
        <f>#REF!</f>
        <v>#REF!</v>
      </c>
      <c r="BC130" s="207" t="e">
        <f t="shared" ref="BC130:BC142" si="28">BA130-AY130</f>
        <v>#REF!</v>
      </c>
      <c r="BD130" s="242"/>
    </row>
    <row r="131" spans="4:56" ht="27" customHeight="1">
      <c r="D131" s="1">
        <v>36</v>
      </c>
      <c r="AB131" s="174" t="s">
        <v>1225</v>
      </c>
      <c r="AC131" s="5" t="s">
        <v>1064</v>
      </c>
      <c r="AD131" s="176" t="s">
        <v>1218</v>
      </c>
      <c r="AE131" s="209"/>
      <c r="AF131" s="209"/>
      <c r="AG131" s="209"/>
      <c r="AH131" s="209"/>
      <c r="AI131" s="207">
        <f t="shared" si="24"/>
        <v>0</v>
      </c>
      <c r="AJ131" s="209"/>
      <c r="AK131" s="209"/>
      <c r="AL131" s="209"/>
      <c r="AM131" s="209"/>
      <c r="AN131" s="207">
        <f t="shared" si="25"/>
        <v>0</v>
      </c>
      <c r="AO131" s="209"/>
      <c r="AP131" s="209"/>
      <c r="AQ131" s="209" t="e">
        <f>#REF!</f>
        <v>#REF!</v>
      </c>
      <c r="AR131" s="209" t="e">
        <f>#REF!</f>
        <v>#REF!</v>
      </c>
      <c r="AS131" s="207" t="e">
        <f t="shared" si="26"/>
        <v>#REF!</v>
      </c>
      <c r="AT131" s="209"/>
      <c r="AU131" s="209"/>
      <c r="AV131" s="209" t="e">
        <f>#REF!</f>
        <v>#REF!</v>
      </c>
      <c r="AW131" s="209" t="e">
        <f>#REF!</f>
        <v>#REF!</v>
      </c>
      <c r="AX131" s="207" t="e">
        <f t="shared" si="27"/>
        <v>#REF!</v>
      </c>
      <c r="AY131" s="209" t="e">
        <f>#REF!</f>
        <v>#REF!</v>
      </c>
      <c r="AZ131" s="209"/>
      <c r="BA131" s="209" t="e">
        <f>#REF!</f>
        <v>#REF!</v>
      </c>
      <c r="BB131" s="209" t="e">
        <f>#REF!</f>
        <v>#REF!</v>
      </c>
      <c r="BC131" s="207" t="e">
        <f t="shared" si="28"/>
        <v>#REF!</v>
      </c>
      <c r="BD131" s="242"/>
    </row>
    <row r="132" spans="4:56" ht="13.5" customHeight="1">
      <c r="D132" s="1">
        <v>18</v>
      </c>
      <c r="AB132" s="174" t="s">
        <v>1226</v>
      </c>
      <c r="AC132" s="5" t="s">
        <v>1066</v>
      </c>
      <c r="AD132" s="176" t="s">
        <v>1218</v>
      </c>
      <c r="AE132" s="209"/>
      <c r="AF132" s="209"/>
      <c r="AG132" s="209"/>
      <c r="AH132" s="209"/>
      <c r="AI132" s="207">
        <f t="shared" si="24"/>
        <v>0</v>
      </c>
      <c r="AJ132" s="209"/>
      <c r="AK132" s="209"/>
      <c r="AL132" s="209"/>
      <c r="AM132" s="209"/>
      <c r="AN132" s="207">
        <f t="shared" si="25"/>
        <v>0</v>
      </c>
      <c r="AO132" s="209"/>
      <c r="AP132" s="209"/>
      <c r="AQ132" s="209" t="e">
        <f>#REF!</f>
        <v>#REF!</v>
      </c>
      <c r="AR132" s="209" t="e">
        <f>#REF!</f>
        <v>#REF!</v>
      </c>
      <c r="AS132" s="207" t="e">
        <f t="shared" si="26"/>
        <v>#REF!</v>
      </c>
      <c r="AT132" s="209"/>
      <c r="AU132" s="209"/>
      <c r="AV132" s="209" t="e">
        <f>#REF!</f>
        <v>#REF!</v>
      </c>
      <c r="AW132" s="209" t="e">
        <f>#REF!</f>
        <v>#REF!</v>
      </c>
      <c r="AX132" s="207" t="e">
        <f t="shared" si="27"/>
        <v>#REF!</v>
      </c>
      <c r="AY132" s="209" t="e">
        <f>#REF!</f>
        <v>#REF!</v>
      </c>
      <c r="AZ132" s="209"/>
      <c r="BA132" s="209" t="e">
        <f>#REF!</f>
        <v>#REF!</v>
      </c>
      <c r="BB132" s="209" t="e">
        <f>#REF!</f>
        <v>#REF!</v>
      </c>
      <c r="BC132" s="207" t="e">
        <f t="shared" si="28"/>
        <v>#REF!</v>
      </c>
      <c r="BD132" s="242"/>
    </row>
    <row r="133" spans="4:56" ht="13.5" customHeight="1">
      <c r="D133" s="1">
        <v>18</v>
      </c>
      <c r="AB133" s="174" t="s">
        <v>1227</v>
      </c>
      <c r="AC133" s="5" t="s">
        <v>1068</v>
      </c>
      <c r="AD133" s="176" t="s">
        <v>1218</v>
      </c>
      <c r="AE133" s="209"/>
      <c r="AF133" s="209"/>
      <c r="AG133" s="209"/>
      <c r="AH133" s="209"/>
      <c r="AI133" s="207">
        <f t="shared" si="24"/>
        <v>0</v>
      </c>
      <c r="AJ133" s="209"/>
      <c r="AK133" s="209"/>
      <c r="AL133" s="209"/>
      <c r="AM133" s="209"/>
      <c r="AN133" s="207">
        <f t="shared" si="25"/>
        <v>0</v>
      </c>
      <c r="AO133" s="209"/>
      <c r="AP133" s="209"/>
      <c r="AQ133" s="209" t="e">
        <f>#REF!</f>
        <v>#REF!</v>
      </c>
      <c r="AR133" s="209" t="e">
        <f>#REF!</f>
        <v>#REF!</v>
      </c>
      <c r="AS133" s="207" t="e">
        <f t="shared" si="26"/>
        <v>#REF!</v>
      </c>
      <c r="AT133" s="209"/>
      <c r="AU133" s="209"/>
      <c r="AV133" s="209" t="e">
        <f>#REF!</f>
        <v>#REF!</v>
      </c>
      <c r="AW133" s="209" t="e">
        <f>#REF!</f>
        <v>#REF!</v>
      </c>
      <c r="AX133" s="207" t="e">
        <f t="shared" si="27"/>
        <v>#REF!</v>
      </c>
      <c r="AY133" s="209" t="e">
        <f>#REF!</f>
        <v>#REF!</v>
      </c>
      <c r="AZ133" s="209"/>
      <c r="BA133" s="209" t="e">
        <f>#REF!</f>
        <v>#REF!</v>
      </c>
      <c r="BB133" s="209" t="e">
        <f>#REF!</f>
        <v>#REF!</v>
      </c>
      <c r="BC133" s="207" t="e">
        <f t="shared" si="28"/>
        <v>#REF!</v>
      </c>
      <c r="BD133" s="242"/>
    </row>
    <row r="134" spans="4:56" ht="13.5" customHeight="1">
      <c r="D134" s="1">
        <v>18</v>
      </c>
      <c r="AB134" s="174" t="s">
        <v>1228</v>
      </c>
      <c r="AC134" s="5" t="s">
        <v>1070</v>
      </c>
      <c r="AD134" s="176" t="s">
        <v>1218</v>
      </c>
      <c r="AE134" s="209"/>
      <c r="AF134" s="209"/>
      <c r="AG134" s="209"/>
      <c r="AH134" s="209"/>
      <c r="AI134" s="207">
        <f t="shared" si="24"/>
        <v>0</v>
      </c>
      <c r="AJ134" s="209"/>
      <c r="AK134" s="209"/>
      <c r="AL134" s="209"/>
      <c r="AM134" s="209"/>
      <c r="AN134" s="207">
        <f t="shared" si="25"/>
        <v>0</v>
      </c>
      <c r="AO134" s="209"/>
      <c r="AP134" s="209"/>
      <c r="AQ134" s="209" t="e">
        <f>#REF!</f>
        <v>#REF!</v>
      </c>
      <c r="AR134" s="209" t="e">
        <f>#REF!</f>
        <v>#REF!</v>
      </c>
      <c r="AS134" s="207" t="e">
        <f t="shared" si="26"/>
        <v>#REF!</v>
      </c>
      <c r="AT134" s="209"/>
      <c r="AU134" s="209"/>
      <c r="AV134" s="209" t="e">
        <f>#REF!</f>
        <v>#REF!</v>
      </c>
      <c r="AW134" s="209" t="e">
        <f>#REF!</f>
        <v>#REF!</v>
      </c>
      <c r="AX134" s="207" t="e">
        <f t="shared" si="27"/>
        <v>#REF!</v>
      </c>
      <c r="AY134" s="209" t="e">
        <f>#REF!</f>
        <v>#REF!</v>
      </c>
      <c r="AZ134" s="209"/>
      <c r="BA134" s="209" t="e">
        <f>#REF!</f>
        <v>#REF!</v>
      </c>
      <c r="BB134" s="209" t="e">
        <f>#REF!</f>
        <v>#REF!</v>
      </c>
      <c r="BC134" s="207" t="e">
        <f t="shared" si="28"/>
        <v>#REF!</v>
      </c>
      <c r="BD134" s="242"/>
    </row>
    <row r="135" spans="4:56" ht="13.5" customHeight="1">
      <c r="D135" s="1">
        <v>18</v>
      </c>
      <c r="AB135" s="174" t="s">
        <v>1229</v>
      </c>
      <c r="AC135" s="5" t="s">
        <v>1072</v>
      </c>
      <c r="AD135" s="176" t="s">
        <v>1218</v>
      </c>
      <c r="AE135" s="209"/>
      <c r="AF135" s="209"/>
      <c r="AG135" s="209"/>
      <c r="AH135" s="209"/>
      <c r="AI135" s="207">
        <f t="shared" si="24"/>
        <v>0</v>
      </c>
      <c r="AJ135" s="209"/>
      <c r="AK135" s="209"/>
      <c r="AL135" s="209"/>
      <c r="AM135" s="209"/>
      <c r="AN135" s="207">
        <f t="shared" si="25"/>
        <v>0</v>
      </c>
      <c r="AO135" s="209"/>
      <c r="AP135" s="209"/>
      <c r="AQ135" s="209" t="e">
        <f>#REF!</f>
        <v>#REF!</v>
      </c>
      <c r="AR135" s="209" t="e">
        <f>#REF!</f>
        <v>#REF!</v>
      </c>
      <c r="AS135" s="207" t="e">
        <f t="shared" si="26"/>
        <v>#REF!</v>
      </c>
      <c r="AT135" s="209"/>
      <c r="AU135" s="209"/>
      <c r="AV135" s="209" t="e">
        <f>#REF!</f>
        <v>#REF!</v>
      </c>
      <c r="AW135" s="209" t="e">
        <f>#REF!</f>
        <v>#REF!</v>
      </c>
      <c r="AX135" s="207" t="e">
        <f t="shared" si="27"/>
        <v>#REF!</v>
      </c>
      <c r="AY135" s="209" t="e">
        <f>#REF!</f>
        <v>#REF!</v>
      </c>
      <c r="AZ135" s="209"/>
      <c r="BA135" s="209" t="e">
        <f>#REF!</f>
        <v>#REF!</v>
      </c>
      <c r="BB135" s="209" t="e">
        <f>#REF!</f>
        <v>#REF!</v>
      </c>
      <c r="BC135" s="207" t="e">
        <f t="shared" si="28"/>
        <v>#REF!</v>
      </c>
      <c r="BD135" s="242"/>
    </row>
    <row r="136" spans="4:56" ht="13.5" customHeight="1">
      <c r="D136" s="1">
        <v>18</v>
      </c>
      <c r="AB136" s="174" t="s">
        <v>1230</v>
      </c>
      <c r="AC136" s="5" t="s">
        <v>970</v>
      </c>
      <c r="AD136" s="176" t="s">
        <v>1218</v>
      </c>
      <c r="AE136" s="209"/>
      <c r="AF136" s="209"/>
      <c r="AG136" s="209"/>
      <c r="AH136" s="209"/>
      <c r="AI136" s="207">
        <f t="shared" si="24"/>
        <v>0</v>
      </c>
      <c r="AJ136" s="209"/>
      <c r="AK136" s="209"/>
      <c r="AL136" s="209"/>
      <c r="AM136" s="209"/>
      <c r="AN136" s="207">
        <f t="shared" si="25"/>
        <v>0</v>
      </c>
      <c r="AO136" s="209"/>
      <c r="AP136" s="209"/>
      <c r="AQ136" s="209" t="e">
        <f>#REF!</f>
        <v>#REF!</v>
      </c>
      <c r="AR136" s="209" t="e">
        <f>#REF!</f>
        <v>#REF!</v>
      </c>
      <c r="AS136" s="207" t="e">
        <f t="shared" si="26"/>
        <v>#REF!</v>
      </c>
      <c r="AT136" s="209"/>
      <c r="AU136" s="209"/>
      <c r="AV136" s="209" t="e">
        <f>#REF!</f>
        <v>#REF!</v>
      </c>
      <c r="AW136" s="209" t="e">
        <f>#REF!</f>
        <v>#REF!</v>
      </c>
      <c r="AX136" s="207" t="e">
        <f t="shared" si="27"/>
        <v>#REF!</v>
      </c>
      <c r="AY136" s="209" t="e">
        <f>#REF!</f>
        <v>#REF!</v>
      </c>
      <c r="AZ136" s="209"/>
      <c r="BA136" s="209" t="e">
        <f>#REF!</f>
        <v>#REF!</v>
      </c>
      <c r="BB136" s="209" t="e">
        <f>#REF!</f>
        <v>#REF!</v>
      </c>
      <c r="BC136" s="207" t="e">
        <f t="shared" si="28"/>
        <v>#REF!</v>
      </c>
      <c r="BD136" s="242"/>
    </row>
    <row r="137" spans="4:56" ht="13.5" customHeight="1">
      <c r="D137" s="1">
        <v>18</v>
      </c>
      <c r="AB137" s="174" t="s">
        <v>1231</v>
      </c>
      <c r="AC137" s="5" t="s">
        <v>1075</v>
      </c>
      <c r="AD137" s="176" t="s">
        <v>1218</v>
      </c>
      <c r="AE137" s="209"/>
      <c r="AF137" s="209"/>
      <c r="AG137" s="209"/>
      <c r="AH137" s="209"/>
      <c r="AI137" s="207">
        <f t="shared" si="24"/>
        <v>0</v>
      </c>
      <c r="AJ137" s="209"/>
      <c r="AK137" s="209"/>
      <c r="AL137" s="209"/>
      <c r="AM137" s="209"/>
      <c r="AN137" s="207">
        <f t="shared" si="25"/>
        <v>0</v>
      </c>
      <c r="AO137" s="209"/>
      <c r="AP137" s="209"/>
      <c r="AQ137" s="209" t="e">
        <f>#REF!</f>
        <v>#REF!</v>
      </c>
      <c r="AR137" s="209" t="e">
        <f>#REF!</f>
        <v>#REF!</v>
      </c>
      <c r="AS137" s="207" t="e">
        <f t="shared" si="26"/>
        <v>#REF!</v>
      </c>
      <c r="AT137" s="209"/>
      <c r="AU137" s="209"/>
      <c r="AV137" s="209" t="e">
        <f>#REF!</f>
        <v>#REF!</v>
      </c>
      <c r="AW137" s="209" t="e">
        <f>#REF!</f>
        <v>#REF!</v>
      </c>
      <c r="AX137" s="207" t="e">
        <f t="shared" si="27"/>
        <v>#REF!</v>
      </c>
      <c r="AY137" s="209" t="e">
        <f>#REF!</f>
        <v>#REF!</v>
      </c>
      <c r="AZ137" s="209"/>
      <c r="BA137" s="209" t="e">
        <f>#REF!</f>
        <v>#REF!</v>
      </c>
      <c r="BB137" s="209" t="e">
        <f>#REF!</f>
        <v>#REF!</v>
      </c>
      <c r="BC137" s="207" t="e">
        <f t="shared" si="28"/>
        <v>#REF!</v>
      </c>
      <c r="BD137" s="242"/>
    </row>
    <row r="138" spans="4:56" ht="27" customHeight="1">
      <c r="D138" s="1">
        <v>36</v>
      </c>
      <c r="AB138" s="174" t="s">
        <v>1232</v>
      </c>
      <c r="AC138" s="5" t="s">
        <v>972</v>
      </c>
      <c r="AD138" s="176" t="s">
        <v>1218</v>
      </c>
      <c r="AE138" s="209"/>
      <c r="AF138" s="209"/>
      <c r="AG138" s="209"/>
      <c r="AH138" s="209"/>
      <c r="AI138" s="207">
        <f t="shared" si="24"/>
        <v>0</v>
      </c>
      <c r="AJ138" s="209"/>
      <c r="AK138" s="209"/>
      <c r="AL138" s="209"/>
      <c r="AM138" s="209"/>
      <c r="AN138" s="207">
        <f t="shared" si="25"/>
        <v>0</v>
      </c>
      <c r="AO138" s="209"/>
      <c r="AP138" s="209"/>
      <c r="AQ138" s="209" t="e">
        <f>#REF!</f>
        <v>#REF!</v>
      </c>
      <c r="AR138" s="209" t="e">
        <f>#REF!</f>
        <v>#REF!</v>
      </c>
      <c r="AS138" s="207" t="e">
        <f t="shared" si="26"/>
        <v>#REF!</v>
      </c>
      <c r="AT138" s="209"/>
      <c r="AU138" s="209"/>
      <c r="AV138" s="209" t="e">
        <f>#REF!</f>
        <v>#REF!</v>
      </c>
      <c r="AW138" s="209" t="e">
        <f>#REF!</f>
        <v>#REF!</v>
      </c>
      <c r="AX138" s="207" t="e">
        <f t="shared" si="27"/>
        <v>#REF!</v>
      </c>
      <c r="AY138" s="209" t="e">
        <f>#REF!</f>
        <v>#REF!</v>
      </c>
      <c r="AZ138" s="209"/>
      <c r="BA138" s="209" t="e">
        <f>#REF!</f>
        <v>#REF!</v>
      </c>
      <c r="BB138" s="209" t="e">
        <f>#REF!</f>
        <v>#REF!</v>
      </c>
      <c r="BC138" s="207" t="e">
        <f t="shared" si="28"/>
        <v>#REF!</v>
      </c>
      <c r="BD138" s="242"/>
    </row>
    <row r="139" spans="4:56" ht="13.5" customHeight="1">
      <c r="D139" s="1">
        <v>18</v>
      </c>
      <c r="AB139" s="174" t="s">
        <v>1233</v>
      </c>
      <c r="AC139" s="5" t="s">
        <v>973</v>
      </c>
      <c r="AD139" s="176" t="s">
        <v>1218</v>
      </c>
      <c r="AE139" s="209"/>
      <c r="AF139" s="209"/>
      <c r="AG139" s="209"/>
      <c r="AH139" s="209"/>
      <c r="AI139" s="207">
        <f t="shared" si="24"/>
        <v>0</v>
      </c>
      <c r="AJ139" s="209"/>
      <c r="AK139" s="209"/>
      <c r="AL139" s="209"/>
      <c r="AM139" s="209"/>
      <c r="AN139" s="207">
        <f t="shared" si="25"/>
        <v>0</v>
      </c>
      <c r="AO139" s="209"/>
      <c r="AP139" s="209"/>
      <c r="AQ139" s="209" t="e">
        <f>#REF!</f>
        <v>#REF!</v>
      </c>
      <c r="AR139" s="209" t="e">
        <f>#REF!</f>
        <v>#REF!</v>
      </c>
      <c r="AS139" s="207" t="e">
        <f t="shared" si="26"/>
        <v>#REF!</v>
      </c>
      <c r="AT139" s="209"/>
      <c r="AU139" s="209"/>
      <c r="AV139" s="209" t="e">
        <f>#REF!</f>
        <v>#REF!</v>
      </c>
      <c r="AW139" s="209" t="e">
        <f>#REF!</f>
        <v>#REF!</v>
      </c>
      <c r="AX139" s="207" t="e">
        <f t="shared" si="27"/>
        <v>#REF!</v>
      </c>
      <c r="AY139" s="209" t="e">
        <f>#REF!</f>
        <v>#REF!</v>
      </c>
      <c r="AZ139" s="209"/>
      <c r="BA139" s="209" t="e">
        <f>#REF!</f>
        <v>#REF!</v>
      </c>
      <c r="BB139" s="209" t="e">
        <f>#REF!</f>
        <v>#REF!</v>
      </c>
      <c r="BC139" s="207" t="e">
        <f t="shared" si="28"/>
        <v>#REF!</v>
      </c>
      <c r="BD139" s="242"/>
    </row>
    <row r="140" spans="4:56" ht="13.5" customHeight="1">
      <c r="D140" s="1">
        <v>18</v>
      </c>
      <c r="AB140" s="174" t="s">
        <v>1234</v>
      </c>
      <c r="AC140" s="5" t="s">
        <v>975</v>
      </c>
      <c r="AD140" s="176" t="s">
        <v>1218</v>
      </c>
      <c r="AE140" s="209"/>
      <c r="AF140" s="209"/>
      <c r="AG140" s="209"/>
      <c r="AH140" s="209"/>
      <c r="AI140" s="207">
        <f t="shared" si="24"/>
        <v>0</v>
      </c>
      <c r="AJ140" s="209"/>
      <c r="AK140" s="209"/>
      <c r="AL140" s="209"/>
      <c r="AM140" s="209"/>
      <c r="AN140" s="207">
        <f t="shared" si="25"/>
        <v>0</v>
      </c>
      <c r="AO140" s="209"/>
      <c r="AP140" s="209"/>
      <c r="AQ140" s="209" t="e">
        <f>#REF!</f>
        <v>#REF!</v>
      </c>
      <c r="AR140" s="209" t="e">
        <f>#REF!</f>
        <v>#REF!</v>
      </c>
      <c r="AS140" s="207" t="e">
        <f t="shared" si="26"/>
        <v>#REF!</v>
      </c>
      <c r="AT140" s="209"/>
      <c r="AU140" s="209"/>
      <c r="AV140" s="209" t="e">
        <f>#REF!</f>
        <v>#REF!</v>
      </c>
      <c r="AW140" s="209" t="e">
        <f>#REF!</f>
        <v>#REF!</v>
      </c>
      <c r="AX140" s="207" t="e">
        <f t="shared" si="27"/>
        <v>#REF!</v>
      </c>
      <c r="AY140" s="209" t="e">
        <f>#REF!</f>
        <v>#REF!</v>
      </c>
      <c r="AZ140" s="209"/>
      <c r="BA140" s="209" t="e">
        <f>#REF!</f>
        <v>#REF!</v>
      </c>
      <c r="BB140" s="209" t="e">
        <f>#REF!</f>
        <v>#REF!</v>
      </c>
      <c r="BC140" s="207" t="e">
        <f t="shared" si="28"/>
        <v>#REF!</v>
      </c>
      <c r="BD140" s="242"/>
    </row>
    <row r="141" spans="4:56" ht="13.5" customHeight="1">
      <c r="D141" s="1">
        <v>18</v>
      </c>
      <c r="AB141" s="174" t="s">
        <v>628</v>
      </c>
      <c r="AC141" s="5" t="s">
        <v>998</v>
      </c>
      <c r="AD141" s="176" t="s">
        <v>1218</v>
      </c>
      <c r="AE141" s="209"/>
      <c r="AF141" s="209"/>
      <c r="AG141" s="209"/>
      <c r="AH141" s="209"/>
      <c r="AI141" s="207">
        <f t="shared" si="24"/>
        <v>0</v>
      </c>
      <c r="AJ141" s="209"/>
      <c r="AK141" s="209"/>
      <c r="AL141" s="209"/>
      <c r="AM141" s="209"/>
      <c r="AN141" s="207">
        <f t="shared" si="25"/>
        <v>0</v>
      </c>
      <c r="AO141" s="209"/>
      <c r="AP141" s="209"/>
      <c r="AQ141" s="209" t="e">
        <f>#REF!</f>
        <v>#REF!</v>
      </c>
      <c r="AR141" s="209" t="e">
        <f>#REF!</f>
        <v>#REF!</v>
      </c>
      <c r="AS141" s="207" t="e">
        <f t="shared" si="26"/>
        <v>#REF!</v>
      </c>
      <c r="AT141" s="209"/>
      <c r="AU141" s="209"/>
      <c r="AV141" s="209" t="e">
        <f>#REF!</f>
        <v>#REF!</v>
      </c>
      <c r="AW141" s="209" t="e">
        <f>#REF!</f>
        <v>#REF!</v>
      </c>
      <c r="AX141" s="207" t="e">
        <f t="shared" si="27"/>
        <v>#REF!</v>
      </c>
      <c r="AY141" s="209" t="e">
        <f>#REF!</f>
        <v>#REF!</v>
      </c>
      <c r="AZ141" s="209"/>
      <c r="BA141" s="209" t="e">
        <f>#REF!</f>
        <v>#REF!</v>
      </c>
      <c r="BB141" s="209" t="e">
        <f>#REF!</f>
        <v>#REF!</v>
      </c>
      <c r="BC141" s="207" t="e">
        <f t="shared" si="28"/>
        <v>#REF!</v>
      </c>
      <c r="BD141" s="242"/>
    </row>
    <row r="142" spans="4:56" ht="13.5" customHeight="1">
      <c r="D142" s="1">
        <v>18</v>
      </c>
      <c r="AB142" s="174" t="s">
        <v>902</v>
      </c>
      <c r="AC142" s="5" t="s">
        <v>1082</v>
      </c>
      <c r="AD142" s="176" t="s">
        <v>1218</v>
      </c>
      <c r="AE142" s="209"/>
      <c r="AF142" s="209"/>
      <c r="AG142" s="209"/>
      <c r="AH142" s="209"/>
      <c r="AI142" s="207">
        <f t="shared" si="24"/>
        <v>0</v>
      </c>
      <c r="AJ142" s="209"/>
      <c r="AK142" s="209"/>
      <c r="AL142" s="209"/>
      <c r="AM142" s="209"/>
      <c r="AN142" s="207">
        <f t="shared" si="25"/>
        <v>0</v>
      </c>
      <c r="AO142" s="209"/>
      <c r="AP142" s="209"/>
      <c r="AQ142" s="209" t="e">
        <f>#REF!</f>
        <v>#REF!</v>
      </c>
      <c r="AR142" s="209" t="e">
        <f>#REF!</f>
        <v>#REF!</v>
      </c>
      <c r="AS142" s="207" t="e">
        <f t="shared" si="26"/>
        <v>#REF!</v>
      </c>
      <c r="AT142" s="209"/>
      <c r="AU142" s="209"/>
      <c r="AV142" s="209" t="e">
        <f>#REF!</f>
        <v>#REF!</v>
      </c>
      <c r="AW142" s="209" t="e">
        <f>#REF!</f>
        <v>#REF!</v>
      </c>
      <c r="AX142" s="207" t="e">
        <f t="shared" si="27"/>
        <v>#REF!</v>
      </c>
      <c r="AY142" s="209" t="e">
        <f>#REF!</f>
        <v>#REF!</v>
      </c>
      <c r="AZ142" s="209"/>
      <c r="BA142" s="209" t="e">
        <f>#REF!</f>
        <v>#REF!</v>
      </c>
      <c r="BB142" s="209" t="e">
        <f>#REF!</f>
        <v>#REF!</v>
      </c>
      <c r="BC142" s="207" t="e">
        <f t="shared" si="28"/>
        <v>#REF!</v>
      </c>
      <c r="BD142" s="242"/>
    </row>
    <row r="143" spans="4:56" ht="13.5" customHeight="1">
      <c r="D143" s="1">
        <v>18</v>
      </c>
      <c r="AB143" s="247" t="s">
        <v>903</v>
      </c>
      <c r="AC143" s="248" t="s">
        <v>1083</v>
      </c>
      <c r="AD143" s="276" t="s">
        <v>1218</v>
      </c>
      <c r="AE143" s="249">
        <f t="shared" ref="AE143:BC143" si="29">AE123+AE126+AE127+AE141+AE142</f>
        <v>0</v>
      </c>
      <c r="AF143" s="249">
        <f t="shared" si="29"/>
        <v>0</v>
      </c>
      <c r="AG143" s="249">
        <f t="shared" si="29"/>
        <v>0</v>
      </c>
      <c r="AH143" s="249">
        <f t="shared" si="29"/>
        <v>0</v>
      </c>
      <c r="AI143" s="249">
        <f t="shared" si="29"/>
        <v>0</v>
      </c>
      <c r="AJ143" s="249">
        <f t="shared" si="29"/>
        <v>0</v>
      </c>
      <c r="AK143" s="249">
        <f t="shared" si="29"/>
        <v>0</v>
      </c>
      <c r="AL143" s="249">
        <f t="shared" si="29"/>
        <v>0</v>
      </c>
      <c r="AM143" s="249">
        <f t="shared" si="29"/>
        <v>0</v>
      </c>
      <c r="AN143" s="249">
        <f t="shared" si="29"/>
        <v>0</v>
      </c>
      <c r="AO143" s="249">
        <f t="shared" si="29"/>
        <v>0</v>
      </c>
      <c r="AP143" s="249">
        <f t="shared" si="29"/>
        <v>0</v>
      </c>
      <c r="AQ143" s="249" t="e">
        <f t="shared" si="29"/>
        <v>#REF!</v>
      </c>
      <c r="AR143" s="249" t="e">
        <f t="shared" si="29"/>
        <v>#REF!</v>
      </c>
      <c r="AS143" s="249" t="e">
        <f t="shared" si="29"/>
        <v>#REF!</v>
      </c>
      <c r="AT143" s="249">
        <f t="shared" si="29"/>
        <v>0</v>
      </c>
      <c r="AU143" s="249">
        <f t="shared" si="29"/>
        <v>0</v>
      </c>
      <c r="AV143" s="249" t="e">
        <f t="shared" si="29"/>
        <v>#REF!</v>
      </c>
      <c r="AW143" s="249" t="e">
        <f t="shared" si="29"/>
        <v>#REF!</v>
      </c>
      <c r="AX143" s="249" t="e">
        <f t="shared" si="29"/>
        <v>#REF!</v>
      </c>
      <c r="AY143" s="249" t="e">
        <f t="shared" si="29"/>
        <v>#REF!</v>
      </c>
      <c r="AZ143" s="249">
        <f t="shared" si="29"/>
        <v>0</v>
      </c>
      <c r="BA143" s="249" t="e">
        <f t="shared" si="29"/>
        <v>#REF!</v>
      </c>
      <c r="BB143" s="249" t="e">
        <f t="shared" si="29"/>
        <v>#REF!</v>
      </c>
      <c r="BC143" s="249" t="e">
        <f t="shared" si="29"/>
        <v>#REF!</v>
      </c>
      <c r="BD143" s="277"/>
    </row>
    <row r="144" spans="4:56" ht="13.5" customHeight="1">
      <c r="D144" s="1">
        <v>18</v>
      </c>
      <c r="AB144" s="278"/>
      <c r="AC144" s="267" t="s">
        <v>1267</v>
      </c>
      <c r="AD144" s="279" t="s">
        <v>1218</v>
      </c>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09"/>
      <c r="BA144" s="209"/>
      <c r="BB144" s="209"/>
      <c r="BC144" s="209"/>
      <c r="BD144" s="242"/>
    </row>
    <row r="145" spans="4:39" ht="13.5" customHeight="1">
      <c r="D145" s="1">
        <v>18</v>
      </c>
    </row>
    <row r="146" spans="4:39" ht="36" customHeight="1">
      <c r="D146" s="1">
        <v>48</v>
      </c>
      <c r="AB146" s="864" t="str">
        <f>"Расчет расходов на "&amp;PRD&amp;" год, связанных с компенсацией незапланированных расходов или полученного избытка, выявленных по итогам "&amp;PRD-2&amp;" года "&amp;Титульный!AC27</f>
        <v>Расчет расходов на 2026 год, связанных с компенсацией незапланированных расходов или полученного избытка, выявленных по итогам 2024 года МУП "Горэлектросети"</v>
      </c>
      <c r="AC146" s="781"/>
      <c r="AD146" s="781"/>
      <c r="AE146" s="781"/>
      <c r="AF146" s="781"/>
      <c r="AG146" s="781"/>
      <c r="AH146" s="781"/>
      <c r="AI146" s="781"/>
      <c r="AJ146" s="781"/>
      <c r="AK146" s="781"/>
      <c r="AL146" s="781"/>
      <c r="AM146" s="781"/>
    </row>
    <row r="147" spans="4:39" ht="13.5" customHeight="1">
      <c r="D147" s="1">
        <v>18</v>
      </c>
    </row>
    <row r="148" spans="4:39" ht="24" customHeight="1">
      <c r="D148" s="1">
        <v>32</v>
      </c>
      <c r="AB148" s="863" t="s">
        <v>1268</v>
      </c>
      <c r="AC148" s="781"/>
      <c r="AD148" s="781"/>
      <c r="AE148" s="781"/>
    </row>
    <row r="149" spans="4:39" ht="13.5" customHeight="1">
      <c r="D149" s="1">
        <v>18</v>
      </c>
    </row>
    <row r="150" spans="4:39" ht="24" customHeight="1">
      <c r="D150" s="1">
        <v>32</v>
      </c>
      <c r="AB150" s="864" t="s">
        <v>1269</v>
      </c>
      <c r="AC150" s="781"/>
      <c r="AD150" s="781"/>
      <c r="AE150" s="781"/>
      <c r="AF150" s="781"/>
      <c r="AG150" s="781"/>
      <c r="AH150" s="781"/>
      <c r="AI150" s="781"/>
      <c r="AJ150" s="781"/>
      <c r="AK150" s="781"/>
      <c r="AL150" s="781"/>
      <c r="AM150" s="781"/>
    </row>
    <row r="151" spans="4:39" ht="13.5" customHeight="1">
      <c r="D151" s="1">
        <v>18</v>
      </c>
    </row>
    <row r="152" spans="4:39" ht="24" customHeight="1">
      <c r="D152" s="1">
        <v>32</v>
      </c>
      <c r="AB152" s="863" t="s">
        <v>1270</v>
      </c>
      <c r="AC152" s="781"/>
    </row>
    <row r="153" spans="4:39" ht="13.5" customHeight="1">
      <c r="D153" s="1">
        <v>18</v>
      </c>
    </row>
    <row r="154" spans="4:39" ht="27" customHeight="1">
      <c r="D154" s="1">
        <v>36</v>
      </c>
      <c r="AD154" s="148" t="str">
        <f>"ПР утв. "&amp;PRD-3</f>
        <v>ПР утв. 2023</v>
      </c>
      <c r="AE154" s="148" t="str">
        <f>"Х "&amp;PRD-2</f>
        <v>Х 2024</v>
      </c>
      <c r="AF154" s="148" t="str">
        <f>"факт ИПЦ "&amp;PRD-2</f>
        <v>факт ИПЦ 2024</v>
      </c>
      <c r="AG154" s="85" t="str">
        <f>"факт УЕ "&amp;PRD-3</f>
        <v>факт УЕ 2023</v>
      </c>
      <c r="AH154" s="85" t="str">
        <f>"факт УЕ "&amp;PRD-2</f>
        <v>факт УЕ 2024</v>
      </c>
      <c r="AI154" s="148" t="str">
        <f>"ИКА "&amp;PRD-2</f>
        <v>ИКА 2024</v>
      </c>
      <c r="AJ154" s="148" t="str">
        <f>"ПР утв. "&amp;PRD-2</f>
        <v>ПР утв. 2024</v>
      </c>
      <c r="AK154" s="280" t="str">
        <f>"∆ПР "&amp;PRD</f>
        <v>∆ПР 2026</v>
      </c>
    </row>
    <row r="155" spans="4:39" ht="13.5" customHeight="1">
      <c r="D155" s="1">
        <v>18</v>
      </c>
      <c r="AD155" s="281" t="s">
        <v>1271</v>
      </c>
      <c r="AE155" s="281" t="s">
        <v>633</v>
      </c>
      <c r="AF155" s="281" t="s">
        <v>633</v>
      </c>
      <c r="AG155" s="37" t="s">
        <v>1272</v>
      </c>
      <c r="AH155" s="37" t="s">
        <v>1272</v>
      </c>
      <c r="AI155" s="281" t="s">
        <v>633</v>
      </c>
      <c r="AJ155" s="281" t="s">
        <v>1271</v>
      </c>
      <c r="AK155" s="279" t="s">
        <v>1271</v>
      </c>
    </row>
    <row r="156" spans="4:39" ht="13.5" customHeight="1">
      <c r="D156" s="1">
        <v>18</v>
      </c>
      <c r="AC156" s="3" t="s">
        <v>1273</v>
      </c>
      <c r="AD156" s="245">
        <f>AT143</f>
        <v>0</v>
      </c>
      <c r="AE156" s="282" t="e">
        <f>AE51</f>
        <v>#REF!</v>
      </c>
      <c r="AF156" s="283" t="e">
        <f>AE50</f>
        <v>#REF!</v>
      </c>
      <c r="AG156" s="234" t="e">
        <f>#REF!</f>
        <v>#REF!</v>
      </c>
      <c r="AH156" s="234" t="e">
        <f>#REF!</f>
        <v>#REF!</v>
      </c>
      <c r="AI156" s="238">
        <f>IFERROR((AH156-AG156)/AG156,0)</f>
        <v>0</v>
      </c>
      <c r="AJ156" s="245" t="e">
        <f>AY143</f>
        <v>#REF!</v>
      </c>
      <c r="AK156" s="284">
        <f>IFERROR(AD156*(1-AE156)*(1+AF156)*(1+0.75*AI156)-AJ156,0)</f>
        <v>0</v>
      </c>
    </row>
    <row r="157" spans="4:39" ht="13.5" customHeight="1">
      <c r="D157" s="1">
        <v>18</v>
      </c>
    </row>
    <row r="158" spans="4:39" ht="24" customHeight="1">
      <c r="D158" s="1">
        <v>32</v>
      </c>
      <c r="AB158" s="864" t="s">
        <v>1274</v>
      </c>
      <c r="AC158" s="781"/>
      <c r="AD158" s="781"/>
      <c r="AE158" s="781"/>
      <c r="AF158" s="781"/>
      <c r="AG158" s="781"/>
      <c r="AH158" s="781"/>
      <c r="AI158" s="781"/>
      <c r="AJ158" s="781"/>
      <c r="AK158" s="781"/>
      <c r="AL158" s="781"/>
      <c r="AM158" s="781"/>
    </row>
    <row r="159" spans="4:39" ht="13.5" customHeight="1">
      <c r="D159" s="1">
        <v>18</v>
      </c>
    </row>
    <row r="160" spans="4:39" ht="24" customHeight="1">
      <c r="D160" s="1">
        <v>32</v>
      </c>
      <c r="AB160" s="863" t="s">
        <v>1275</v>
      </c>
      <c r="AC160" s="781"/>
      <c r="AD160" s="781"/>
    </row>
    <row r="161" spans="4:35" ht="13.5" customHeight="1">
      <c r="D161" s="1">
        <v>18</v>
      </c>
    </row>
    <row r="162" spans="4:35" ht="41.25" customHeight="1">
      <c r="D162" s="1">
        <v>55</v>
      </c>
      <c r="AB162" s="206" t="s">
        <v>509</v>
      </c>
      <c r="AC162" s="858" t="s">
        <v>526</v>
      </c>
      <c r="AD162" s="858"/>
      <c r="AE162" s="206" t="s">
        <v>1040</v>
      </c>
      <c r="AF162" s="206" t="str">
        <f>"План "&amp;PRD-2</f>
        <v>План 2024</v>
      </c>
      <c r="AG162" s="206" t="str">
        <f>"Факт "&amp;PRD-2&amp;"
вариант ТСО"</f>
        <v>Факт 2024
вариант ТСО</v>
      </c>
      <c r="AH162" s="206" t="str">
        <f>"Факт "&amp;PRD-2&amp;"
вариант МТРиЭ"</f>
        <v>Факт 2024
вариант МТРиЭ</v>
      </c>
      <c r="AI162" s="206" t="s">
        <v>1276</v>
      </c>
    </row>
    <row r="163" spans="4:35" ht="13.5" customHeight="1">
      <c r="D163" s="1">
        <v>18</v>
      </c>
      <c r="AB163" s="174">
        <v>1</v>
      </c>
      <c r="AC163" s="865" t="s">
        <v>573</v>
      </c>
      <c r="AD163" s="865"/>
      <c r="AE163" s="176" t="s">
        <v>1218</v>
      </c>
      <c r="AF163" s="209" t="e">
        <f t="shared" ref="AF163:AH178" si="30">AE81</f>
        <v>#REF!</v>
      </c>
      <c r="AG163" s="209" t="e">
        <f t="shared" si="30"/>
        <v>#REF!</v>
      </c>
      <c r="AH163" s="209" t="e">
        <f t="shared" si="30"/>
        <v>#REF!</v>
      </c>
      <c r="AI163" s="225" t="e">
        <f t="shared" ref="AI163:AI179" si="31">AH163-AF163</f>
        <v>#REF!</v>
      </c>
    </row>
    <row r="164" spans="4:35" ht="13.5" customHeight="1">
      <c r="D164" s="1">
        <v>18</v>
      </c>
      <c r="AB164" s="174">
        <v>2</v>
      </c>
      <c r="AC164" s="865" t="s">
        <v>575</v>
      </c>
      <c r="AD164" s="865"/>
      <c r="AE164" s="176" t="s">
        <v>1218</v>
      </c>
      <c r="AF164" s="209" t="e">
        <f t="shared" si="30"/>
        <v>#REF!</v>
      </c>
      <c r="AG164" s="209" t="e">
        <f t="shared" si="30"/>
        <v>#REF!</v>
      </c>
      <c r="AH164" s="209" t="e">
        <f t="shared" si="30"/>
        <v>#REF!</v>
      </c>
      <c r="AI164" s="225" t="e">
        <f t="shared" si="31"/>
        <v>#REF!</v>
      </c>
    </row>
    <row r="165" spans="4:35" ht="13.5" customHeight="1">
      <c r="D165" s="1">
        <v>18</v>
      </c>
      <c r="AB165" s="174" t="s">
        <v>532</v>
      </c>
      <c r="AC165" s="865" t="s">
        <v>1235</v>
      </c>
      <c r="AD165" s="865"/>
      <c r="AE165" s="176" t="s">
        <v>1218</v>
      </c>
      <c r="AF165" s="209" t="e">
        <f t="shared" si="30"/>
        <v>#REF!</v>
      </c>
      <c r="AG165" s="209" t="e">
        <f t="shared" si="30"/>
        <v>#REF!</v>
      </c>
      <c r="AH165" s="209" t="e">
        <f t="shared" si="30"/>
        <v>#REF!</v>
      </c>
      <c r="AI165" s="225" t="e">
        <f t="shared" si="31"/>
        <v>#REF!</v>
      </c>
    </row>
    <row r="166" spans="4:35" ht="13.5" customHeight="1">
      <c r="D166" s="1">
        <v>18</v>
      </c>
      <c r="AB166" s="174" t="s">
        <v>637</v>
      </c>
      <c r="AC166" s="865" t="s">
        <v>1236</v>
      </c>
      <c r="AD166" s="865"/>
      <c r="AE166" s="176" t="s">
        <v>1218</v>
      </c>
      <c r="AF166" s="209" t="e">
        <f t="shared" si="30"/>
        <v>#REF!</v>
      </c>
      <c r="AG166" s="209" t="e">
        <f t="shared" si="30"/>
        <v>#REF!</v>
      </c>
      <c r="AH166" s="209" t="e">
        <f t="shared" si="30"/>
        <v>#REF!</v>
      </c>
      <c r="AI166" s="225" t="e">
        <f t="shared" si="31"/>
        <v>#REF!</v>
      </c>
    </row>
    <row r="167" spans="4:35" ht="13.5" customHeight="1">
      <c r="D167" s="1">
        <v>18</v>
      </c>
      <c r="AB167" s="174" t="s">
        <v>534</v>
      </c>
      <c r="AC167" s="865" t="s">
        <v>1237</v>
      </c>
      <c r="AD167" s="865"/>
      <c r="AE167" s="176" t="s">
        <v>1218</v>
      </c>
      <c r="AF167" s="209" t="e">
        <f t="shared" si="30"/>
        <v>#REF!</v>
      </c>
      <c r="AG167" s="209" t="e">
        <f t="shared" si="30"/>
        <v>#REF!</v>
      </c>
      <c r="AH167" s="209" t="e">
        <f t="shared" si="30"/>
        <v>#REF!</v>
      </c>
      <c r="AI167" s="225" t="e">
        <f t="shared" si="31"/>
        <v>#REF!</v>
      </c>
    </row>
    <row r="168" spans="4:35" ht="13.5" customHeight="1">
      <c r="D168" s="1">
        <v>18</v>
      </c>
      <c r="AB168" s="174" t="s">
        <v>665</v>
      </c>
      <c r="AC168" s="865" t="s">
        <v>1238</v>
      </c>
      <c r="AD168" s="865"/>
      <c r="AE168" s="176" t="s">
        <v>1218</v>
      </c>
      <c r="AF168" s="209" t="e">
        <f t="shared" si="30"/>
        <v>#REF!</v>
      </c>
      <c r="AG168" s="209" t="e">
        <f t="shared" si="30"/>
        <v>#REF!</v>
      </c>
      <c r="AH168" s="209" t="e">
        <f t="shared" si="30"/>
        <v>#REF!</v>
      </c>
      <c r="AI168" s="225" t="e">
        <f t="shared" si="31"/>
        <v>#REF!</v>
      </c>
    </row>
    <row r="169" spans="4:35" ht="13.5" customHeight="1">
      <c r="D169" s="1">
        <v>18</v>
      </c>
      <c r="AB169" s="174" t="s">
        <v>679</v>
      </c>
      <c r="AC169" s="865" t="s">
        <v>480</v>
      </c>
      <c r="AD169" s="865"/>
      <c r="AE169" s="176" t="s">
        <v>1218</v>
      </c>
      <c r="AF169" s="209" t="e">
        <f t="shared" si="30"/>
        <v>#REF!</v>
      </c>
      <c r="AG169" s="209" t="e">
        <f t="shared" si="30"/>
        <v>#REF!</v>
      </c>
      <c r="AH169" s="209" t="e">
        <f t="shared" si="30"/>
        <v>#REF!</v>
      </c>
      <c r="AI169" s="225" t="e">
        <f t="shared" si="31"/>
        <v>#REF!</v>
      </c>
    </row>
    <row r="170" spans="4:35" ht="13.5" customHeight="1">
      <c r="D170" s="1">
        <v>18</v>
      </c>
      <c r="AB170" s="174" t="s">
        <v>683</v>
      </c>
      <c r="AC170" s="865" t="s">
        <v>1103</v>
      </c>
      <c r="AD170" s="865"/>
      <c r="AE170" s="176" t="s">
        <v>1218</v>
      </c>
      <c r="AF170" s="209" t="e">
        <f t="shared" si="30"/>
        <v>#REF!</v>
      </c>
      <c r="AG170" s="209" t="e">
        <f t="shared" si="30"/>
        <v>#REF!</v>
      </c>
      <c r="AH170" s="209" t="e">
        <f t="shared" si="30"/>
        <v>#REF!</v>
      </c>
      <c r="AI170" s="225" t="e">
        <f t="shared" si="31"/>
        <v>#REF!</v>
      </c>
    </row>
    <row r="171" spans="4:35" ht="13.5" customHeight="1">
      <c r="D171" s="1">
        <v>18</v>
      </c>
      <c r="AB171" s="174" t="s">
        <v>536</v>
      </c>
      <c r="AC171" s="865" t="s">
        <v>1105</v>
      </c>
      <c r="AD171" s="865"/>
      <c r="AE171" s="176" t="s">
        <v>1218</v>
      </c>
      <c r="AF171" s="209" t="e">
        <f t="shared" si="30"/>
        <v>#REF!</v>
      </c>
      <c r="AG171" s="209" t="e">
        <f t="shared" si="30"/>
        <v>#REF!</v>
      </c>
      <c r="AH171" s="209" t="e">
        <f t="shared" si="30"/>
        <v>#REF!</v>
      </c>
      <c r="AI171" s="225" t="e">
        <f t="shared" si="31"/>
        <v>#REF!</v>
      </c>
    </row>
    <row r="172" spans="4:35" ht="13.5" customHeight="1">
      <c r="D172" s="1">
        <v>18</v>
      </c>
      <c r="AB172" s="174" t="s">
        <v>541</v>
      </c>
      <c r="AC172" s="865" t="s">
        <v>577</v>
      </c>
      <c r="AD172" s="865"/>
      <c r="AE172" s="176" t="s">
        <v>1218</v>
      </c>
      <c r="AF172" s="209" t="e">
        <f t="shared" si="30"/>
        <v>#REF!</v>
      </c>
      <c r="AG172" s="209" t="e">
        <f t="shared" si="30"/>
        <v>#REF!</v>
      </c>
      <c r="AH172" s="209" t="e">
        <f t="shared" si="30"/>
        <v>#REF!</v>
      </c>
      <c r="AI172" s="225" t="e">
        <f t="shared" si="31"/>
        <v>#REF!</v>
      </c>
    </row>
    <row r="173" spans="4:35" ht="13.5" customHeight="1">
      <c r="D173" s="1">
        <v>18</v>
      </c>
      <c r="AB173" s="174" t="s">
        <v>543</v>
      </c>
      <c r="AC173" s="865" t="s">
        <v>1239</v>
      </c>
      <c r="AD173" s="865"/>
      <c r="AE173" s="176" t="s">
        <v>1218</v>
      </c>
      <c r="AF173" s="209" t="e">
        <f t="shared" si="30"/>
        <v>#REF!</v>
      </c>
      <c r="AG173" s="209" t="e">
        <f t="shared" si="30"/>
        <v>#REF!</v>
      </c>
      <c r="AH173" s="209" t="e">
        <f t="shared" si="30"/>
        <v>#REF!</v>
      </c>
      <c r="AI173" s="225" t="e">
        <f t="shared" si="31"/>
        <v>#REF!</v>
      </c>
    </row>
    <row r="174" spans="4:35" ht="13.5" customHeight="1">
      <c r="D174" s="1">
        <v>18</v>
      </c>
      <c r="AB174" s="174" t="s">
        <v>1277</v>
      </c>
      <c r="AC174" s="865" t="s">
        <v>1241</v>
      </c>
      <c r="AD174" s="865"/>
      <c r="AE174" s="176" t="s">
        <v>1218</v>
      </c>
      <c r="AF174" s="209" t="e">
        <f t="shared" si="30"/>
        <v>#REF!</v>
      </c>
      <c r="AG174" s="209" t="e">
        <f t="shared" si="30"/>
        <v>#REF!</v>
      </c>
      <c r="AH174" s="209" t="e">
        <f t="shared" si="30"/>
        <v>#REF!</v>
      </c>
      <c r="AI174" s="225" t="e">
        <f t="shared" si="31"/>
        <v>#REF!</v>
      </c>
    </row>
    <row r="175" spans="4:35" ht="13.5" customHeight="1">
      <c r="D175" s="1">
        <v>18</v>
      </c>
      <c r="AB175" s="174" t="s">
        <v>548</v>
      </c>
      <c r="AC175" s="865" t="s">
        <v>1111</v>
      </c>
      <c r="AD175" s="865"/>
      <c r="AE175" s="176" t="s">
        <v>1218</v>
      </c>
      <c r="AF175" s="209" t="e">
        <f t="shared" si="30"/>
        <v>#REF!</v>
      </c>
      <c r="AG175" s="209" t="e">
        <f t="shared" si="30"/>
        <v>#REF!</v>
      </c>
      <c r="AH175" s="209" t="e">
        <f t="shared" si="30"/>
        <v>#REF!</v>
      </c>
      <c r="AI175" s="225" t="e">
        <f t="shared" si="31"/>
        <v>#REF!</v>
      </c>
    </row>
    <row r="176" spans="4:35" ht="13.5" customHeight="1">
      <c r="D176" s="1">
        <v>18</v>
      </c>
      <c r="AB176" s="174" t="s">
        <v>550</v>
      </c>
      <c r="AC176" s="865" t="s">
        <v>1113</v>
      </c>
      <c r="AD176" s="865"/>
      <c r="AE176" s="176" t="s">
        <v>1218</v>
      </c>
      <c r="AF176" s="209" t="e">
        <f t="shared" si="30"/>
        <v>#REF!</v>
      </c>
      <c r="AG176" s="209" t="e">
        <f t="shared" si="30"/>
        <v>#REF!</v>
      </c>
      <c r="AH176" s="209" t="e">
        <f t="shared" si="30"/>
        <v>#REF!</v>
      </c>
      <c r="AI176" s="225" t="e">
        <f t="shared" si="31"/>
        <v>#REF!</v>
      </c>
    </row>
    <row r="177" spans="4:37" ht="13.5" customHeight="1">
      <c r="D177" s="1">
        <v>18</v>
      </c>
      <c r="AB177" s="174" t="s">
        <v>551</v>
      </c>
      <c r="AC177" s="865" t="s">
        <v>996</v>
      </c>
      <c r="AD177" s="865"/>
      <c r="AE177" s="176" t="s">
        <v>1218</v>
      </c>
      <c r="AF177" s="209" t="e">
        <f t="shared" si="30"/>
        <v>#REF!</v>
      </c>
      <c r="AG177" s="209" t="e">
        <f t="shared" si="30"/>
        <v>#REF!</v>
      </c>
      <c r="AH177" s="209" t="e">
        <f t="shared" si="30"/>
        <v>#REF!</v>
      </c>
      <c r="AI177" s="225" t="e">
        <f t="shared" si="31"/>
        <v>#REF!</v>
      </c>
    </row>
    <row r="178" spans="4:37" ht="24" customHeight="1">
      <c r="D178" s="1">
        <v>32</v>
      </c>
      <c r="AB178" s="174" t="s">
        <v>552</v>
      </c>
      <c r="AC178" s="865" t="s">
        <v>1242</v>
      </c>
      <c r="AD178" s="865"/>
      <c r="AE178" s="176" t="s">
        <v>1218</v>
      </c>
      <c r="AF178" s="209" t="e">
        <f t="shared" si="30"/>
        <v>#REF!</v>
      </c>
      <c r="AG178" s="209" t="e">
        <f t="shared" si="30"/>
        <v>#REF!</v>
      </c>
      <c r="AH178" s="209" t="e">
        <f t="shared" si="30"/>
        <v>#REF!</v>
      </c>
      <c r="AI178" s="225" t="e">
        <f t="shared" si="31"/>
        <v>#REF!</v>
      </c>
    </row>
    <row r="179" spans="4:37" ht="13.5" customHeight="1">
      <c r="D179" s="1">
        <v>18</v>
      </c>
      <c r="AB179" s="258"/>
      <c r="AC179" s="881" t="s">
        <v>1126</v>
      </c>
      <c r="AD179" s="881"/>
      <c r="AE179" s="206" t="s">
        <v>1218</v>
      </c>
      <c r="AF179" s="261" t="e">
        <f>SUM(AF163,AF164,AF165,AF167,AF171,AF172,AF173,AF175,AF176,AF177,AF178)</f>
        <v>#REF!</v>
      </c>
      <c r="AG179" s="261" t="e">
        <f>SUM(AG163,AG164,AG165,AG167,AG171,AG172,AG173,AG175,AG176,AG177,AG178)</f>
        <v>#REF!</v>
      </c>
      <c r="AH179" s="261" t="e">
        <f>SUM(AH163,AH164,AH165,AH167,AH171,AH172,AH173,AH175,AH176,AH177,AH178)</f>
        <v>#REF!</v>
      </c>
      <c r="AI179" s="225" t="e">
        <f t="shared" si="31"/>
        <v>#REF!</v>
      </c>
    </row>
    <row r="180" spans="4:37" ht="13.5" customHeight="1">
      <c r="D180" s="1">
        <v>18</v>
      </c>
    </row>
    <row r="181" spans="4:37" ht="13.5" customHeight="1">
      <c r="D181" s="1">
        <v>18</v>
      </c>
      <c r="AB181" s="864" t="s">
        <v>1278</v>
      </c>
      <c r="AC181" s="781"/>
      <c r="AD181" s="781"/>
      <c r="AE181" s="781"/>
      <c r="AF181" s="781"/>
      <c r="AG181" s="781"/>
      <c r="AH181" s="781"/>
      <c r="AI181" s="781"/>
      <c r="AJ181" s="781"/>
      <c r="AK181" s="781"/>
    </row>
    <row r="182" spans="4:37" ht="13.5" customHeight="1">
      <c r="D182" s="1">
        <v>18</v>
      </c>
    </row>
    <row r="183" spans="4:37" ht="11.25" hidden="1" customHeight="1">
      <c r="D183" s="1">
        <v>0</v>
      </c>
      <c r="AB183" s="863" t="s">
        <v>1279</v>
      </c>
      <c r="AC183" s="781"/>
      <c r="AD183" s="781"/>
      <c r="AE183" s="781"/>
      <c r="AF183" s="781"/>
      <c r="AG183" s="781"/>
    </row>
    <row r="184" spans="4:37" ht="11.25" hidden="1" customHeight="1">
      <c r="D184" s="1">
        <v>0</v>
      </c>
    </row>
    <row r="185" spans="4:37" ht="11.25" hidden="1" customHeight="1">
      <c r="D185" s="1">
        <v>0</v>
      </c>
      <c r="AB185" s="863" t="s">
        <v>1280</v>
      </c>
      <c r="AC185" s="781"/>
      <c r="AD185" s="781"/>
      <c r="AE185" s="781"/>
      <c r="AF185" s="781"/>
      <c r="AG185" s="781"/>
    </row>
    <row r="186" spans="4:37" ht="11.25" hidden="1" customHeight="1">
      <c r="D186" s="1">
        <v>0</v>
      </c>
    </row>
    <row r="187" spans="4:37" ht="21" customHeight="1">
      <c r="D187" s="1">
        <v>28</v>
      </c>
      <c r="AC187" s="176" t="s">
        <v>843</v>
      </c>
      <c r="AD187" s="176" t="s">
        <v>1157</v>
      </c>
      <c r="AE187" s="176" t="s">
        <v>1040</v>
      </c>
      <c r="AF187" s="176" t="str">
        <f>PRD-2&amp;" год"</f>
        <v>2024 год</v>
      </c>
    </row>
    <row r="188" spans="4:37" ht="27" customHeight="1">
      <c r="D188" s="1">
        <v>36</v>
      </c>
      <c r="AC188" s="192" t="s">
        <v>1281</v>
      </c>
      <c r="AD188" s="176" t="s">
        <v>1282</v>
      </c>
      <c r="AE188" s="176" t="s">
        <v>1283</v>
      </c>
      <c r="AF188" s="209" t="e">
        <f>#REF!/1000</f>
        <v>#REF!</v>
      </c>
    </row>
    <row r="189" spans="4:37" ht="41.25" customHeight="1">
      <c r="D189" s="1">
        <v>55</v>
      </c>
      <c r="AC189" s="192" t="s">
        <v>1284</v>
      </c>
      <c r="AD189" s="176" t="s">
        <v>1285</v>
      </c>
      <c r="AE189" s="176" t="s">
        <v>633</v>
      </c>
      <c r="AF189" s="270" t="e">
        <f>#REF!</f>
        <v>#REF!</v>
      </c>
    </row>
    <row r="190" spans="4:37" ht="27" customHeight="1">
      <c r="D190" s="1">
        <v>36</v>
      </c>
      <c r="AC190" s="192" t="s">
        <v>1286</v>
      </c>
      <c r="AD190" s="176" t="s">
        <v>1287</v>
      </c>
      <c r="AE190" s="176" t="s">
        <v>1283</v>
      </c>
      <c r="AF190" s="209" t="e">
        <f>#REF!*1000</f>
        <v>#REF!</v>
      </c>
    </row>
    <row r="191" spans="4:37" ht="27" customHeight="1">
      <c r="D191" s="1">
        <v>36</v>
      </c>
      <c r="AC191" s="192" t="s">
        <v>1288</v>
      </c>
      <c r="AD191" s="176" t="s">
        <v>1289</v>
      </c>
      <c r="AE191" s="176" t="s">
        <v>1290</v>
      </c>
      <c r="AF191" s="285" t="e">
        <f>#REF!</f>
        <v>#REF!</v>
      </c>
      <c r="AG191" s="877" t="str">
        <f>"по представленным счетам-фактурам"</f>
        <v>по представленным счетам-фактурам</v>
      </c>
      <c r="AH191" s="877"/>
      <c r="AI191" s="877"/>
    </row>
    <row r="192" spans="4:37" ht="27" customHeight="1">
      <c r="D192" s="1">
        <v>36</v>
      </c>
      <c r="AC192" s="192" t="s">
        <v>1291</v>
      </c>
      <c r="AD192" s="176" t="s">
        <v>1292</v>
      </c>
      <c r="AE192" s="176" t="s">
        <v>1290</v>
      </c>
      <c r="AF192" s="209"/>
    </row>
    <row r="193" spans="4:57" ht="13.5" customHeight="1">
      <c r="D193" s="1">
        <v>18</v>
      </c>
      <c r="AC193" s="286" t="e">
        <f>CONCATENATE("ПО = min (",TEXT(AF188,"# #,##"),"; ",TEXT(AF189,"# #,##"),"% * ",TEXT(AF190,"# #,##"),") * ",TEXT(AF191,"# #,#####")," - ",TEXT(AF190,"# #,##")," * ",TEXT(AF192,"# #,#####")," * ",TEXT(AF189,"# #,##"),"% = ",TEXT(AF194,"# #,##"))</f>
        <v>#REF!</v>
      </c>
      <c r="AD193" s="246"/>
      <c r="AE193" s="37"/>
      <c r="AF193" s="225"/>
    </row>
    <row r="194" spans="4:57" ht="27" customHeight="1">
      <c r="D194" s="1">
        <v>36</v>
      </c>
      <c r="AC194" s="196" t="s">
        <v>1293</v>
      </c>
      <c r="AD194" s="206" t="s">
        <v>1294</v>
      </c>
      <c r="AE194" s="206" t="s">
        <v>1035</v>
      </c>
      <c r="AF194" s="271" t="e">
        <f>MIN(AF188,AF189/100*AF190)*AF191-AF190*AF192*AF189/100</f>
        <v>#REF!</v>
      </c>
    </row>
    <row r="195" spans="4:57" ht="11.25" hidden="1" customHeight="1">
      <c r="D195">
        <v>0</v>
      </c>
      <c r="BE195" t="s">
        <v>42</v>
      </c>
    </row>
  </sheetData>
  <sheetProtection insertRows="0" deleteColumns="0" deleteRows="0" sort="0" autoFilter="0"/>
  <mergeCells count="75">
    <mergeCell ref="BD121:BD122"/>
    <mergeCell ref="AG191:AI191"/>
    <mergeCell ref="AM40:AN40"/>
    <mergeCell ref="AM39:AN39"/>
    <mergeCell ref="AC177:AD177"/>
    <mergeCell ref="AC178:AD178"/>
    <mergeCell ref="AC167:AD167"/>
    <mergeCell ref="AC168:AD168"/>
    <mergeCell ref="AC169:AD169"/>
    <mergeCell ref="AC170:AD170"/>
    <mergeCell ref="AC48:AM48"/>
    <mergeCell ref="AE41:AF41"/>
    <mergeCell ref="AC43:AM43"/>
    <mergeCell ref="AE44:AK44"/>
    <mergeCell ref="AE45:AK45"/>
    <mergeCell ref="AC179:AD179"/>
    <mergeCell ref="AB21:AD21"/>
    <mergeCell ref="AC166:AD166"/>
    <mergeCell ref="AC162:AD162"/>
    <mergeCell ref="AC163:AD163"/>
    <mergeCell ref="AC164:AD164"/>
    <mergeCell ref="AB121:AB122"/>
    <mergeCell ref="AC121:AC122"/>
    <mergeCell ref="AD121:AD122"/>
    <mergeCell ref="AD39:AD40"/>
    <mergeCell ref="AB22:AS22"/>
    <mergeCell ref="AC24:AJ24"/>
    <mergeCell ref="AP26:AT26"/>
    <mergeCell ref="AE32:AF32"/>
    <mergeCell ref="AE33:AF33"/>
    <mergeCell ref="AC26:AC27"/>
    <mergeCell ref="AD26:AD27"/>
    <mergeCell ref="AT121:AX121"/>
    <mergeCell ref="AE121:AI121"/>
    <mergeCell ref="AJ121:AN121"/>
    <mergeCell ref="AY121:BC121"/>
    <mergeCell ref="AB146:AM146"/>
    <mergeCell ref="AE36:AF36"/>
    <mergeCell ref="AO121:AS121"/>
    <mergeCell ref="AM36:AO36"/>
    <mergeCell ref="AE37:AF37"/>
    <mergeCell ref="AM37:AO37"/>
    <mergeCell ref="AE46:AK46"/>
    <mergeCell ref="AG41:AK41"/>
    <mergeCell ref="AE38:AF38"/>
    <mergeCell ref="AE39:AF40"/>
    <mergeCell ref="AG39:AK39"/>
    <mergeCell ref="AG40:AK40"/>
    <mergeCell ref="AE31:AF31"/>
    <mergeCell ref="AE26:AF27"/>
    <mergeCell ref="AO26:AO27"/>
    <mergeCell ref="AE28:AF28"/>
    <mergeCell ref="AE29:AF29"/>
    <mergeCell ref="AE30:AF30"/>
    <mergeCell ref="AM26:AN27"/>
    <mergeCell ref="AM28:AN35"/>
    <mergeCell ref="AG26:AK26"/>
    <mergeCell ref="AE34:AF34"/>
    <mergeCell ref="AE35:AF35"/>
    <mergeCell ref="AB120:AC120"/>
    <mergeCell ref="AB183:AG183"/>
    <mergeCell ref="AB185:AG185"/>
    <mergeCell ref="AB148:AE148"/>
    <mergeCell ref="AB152:AC152"/>
    <mergeCell ref="AB150:AM150"/>
    <mergeCell ref="AB158:AM158"/>
    <mergeCell ref="AB160:AD160"/>
    <mergeCell ref="AB181:AK181"/>
    <mergeCell ref="AC171:AD171"/>
    <mergeCell ref="AC172:AD172"/>
    <mergeCell ref="AC173:AD173"/>
    <mergeCell ref="AC174:AD174"/>
    <mergeCell ref="AC175:AD175"/>
    <mergeCell ref="AC176:AD176"/>
    <mergeCell ref="AC165:AD165"/>
  </mergeCells>
  <dataValidations count="1">
    <dataValidation type="list" allowBlank="1" showInputMessage="1" showErrorMessage="1" sqref="AM39:AM40" xr:uid="{00000000-0002-0000-1C00-000000000000}">
      <formula1>"недостоверные данные"</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934"/>
  <sheetViews>
    <sheetView showGridLines="0" topLeftCell="AA20" workbookViewId="0">
      <selection activeCell="AA20" sqref="AA20"/>
    </sheetView>
  </sheetViews>
  <sheetFormatPr defaultColWidth="9.140625" defaultRowHeight="11.45" customHeight="1" outlineLevelRow="2"/>
  <cols>
    <col min="1" max="26" width="12.85546875" hidden="1" customWidth="1"/>
    <col min="27" max="27" width="6.85546875" customWidth="1"/>
    <col min="28" max="29" width="13.7109375" customWidth="1"/>
    <col min="32" max="32" width="11.42578125" customWidth="1"/>
    <col min="33" max="34" width="13.7109375" customWidth="1"/>
    <col min="35" max="36" width="14.85546875" customWidth="1"/>
    <col min="37" max="37" width="13.7109375" customWidth="1"/>
    <col min="38" max="38" width="14.85546875" customWidth="1"/>
    <col min="39" max="39" width="11.42578125" customWidth="1"/>
    <col min="40" max="40" width="10.28515625" customWidth="1"/>
    <col min="41" max="41" width="12.5703125" customWidth="1"/>
    <col min="42" max="42" width="11.42578125" customWidth="1"/>
    <col min="43" max="43" width="10.28515625" customWidth="1"/>
    <col min="44" max="44" width="11.42578125" customWidth="1"/>
    <col min="46" max="46" width="12.5703125" customWidth="1"/>
    <col min="47" max="47" width="9.140625" hidden="1"/>
  </cols>
  <sheetData>
    <row r="1" spans="1:47" ht="21" hidden="1" customHeight="1">
      <c r="A1" s="153"/>
    </row>
    <row r="2" spans="1:47" ht="21" hidden="1" customHeight="1"/>
    <row r="3" spans="1:47" ht="21" hidden="1" customHeight="1"/>
    <row r="4" spans="1:47" ht="21"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96</v>
      </c>
      <c r="AC4" s="1">
        <v>96</v>
      </c>
      <c r="AD4" s="1">
        <v>64</v>
      </c>
      <c r="AE4" s="1">
        <v>64</v>
      </c>
      <c r="AF4" s="1">
        <v>80</v>
      </c>
      <c r="AG4" s="1">
        <v>96</v>
      </c>
      <c r="AH4" s="1">
        <v>96</v>
      </c>
      <c r="AI4" s="1">
        <v>104</v>
      </c>
      <c r="AJ4" s="1">
        <v>104</v>
      </c>
      <c r="AK4" s="1">
        <v>96</v>
      </c>
      <c r="AL4" s="1">
        <v>104</v>
      </c>
      <c r="AM4" s="1">
        <v>80</v>
      </c>
      <c r="AN4" s="1">
        <v>72</v>
      </c>
      <c r="AO4" s="1">
        <v>88</v>
      </c>
      <c r="AP4" s="1">
        <v>80</v>
      </c>
      <c r="AQ4" s="1">
        <v>72</v>
      </c>
      <c r="AR4" s="1">
        <v>80</v>
      </c>
      <c r="AS4" s="1">
        <v>64</v>
      </c>
      <c r="AT4" s="1">
        <v>88</v>
      </c>
      <c r="AU4" s="2">
        <v>0</v>
      </c>
    </row>
    <row r="5" spans="1:47" ht="21" hidden="1" customHeight="1">
      <c r="D5" s="1">
        <v>40</v>
      </c>
    </row>
    <row r="6" spans="1:47" ht="21" hidden="1" customHeight="1">
      <c r="D6" s="1">
        <v>40</v>
      </c>
    </row>
    <row r="7" spans="1:47" ht="21" hidden="1" customHeight="1">
      <c r="D7" s="1">
        <v>40</v>
      </c>
      <c r="AB7" s="781"/>
      <c r="AC7" s="781"/>
      <c r="AD7" s="781"/>
      <c r="AE7" s="781"/>
      <c r="AF7" s="781"/>
      <c r="AG7" s="781"/>
      <c r="AH7" s="781"/>
      <c r="AI7" s="781"/>
      <c r="AJ7" s="781"/>
      <c r="AK7" s="781"/>
      <c r="AL7" s="781"/>
      <c r="AM7" s="781"/>
      <c r="AN7" s="781"/>
      <c r="AO7" s="781"/>
      <c r="AP7" s="781"/>
      <c r="AQ7" s="781"/>
      <c r="AR7" s="781"/>
      <c r="AS7" s="781"/>
      <c r="AT7" s="781"/>
    </row>
    <row r="8" spans="1:47" ht="21" hidden="1" customHeight="1">
      <c r="D8" s="1">
        <v>40</v>
      </c>
      <c r="AB8" s="781"/>
      <c r="AC8" s="781"/>
      <c r="AD8" s="781"/>
      <c r="AE8" s="781"/>
      <c r="AF8" s="781"/>
      <c r="AG8" s="781"/>
      <c r="AH8" s="781"/>
      <c r="AI8" s="781"/>
      <c r="AJ8" s="781"/>
      <c r="AK8" s="781"/>
      <c r="AL8" s="781"/>
      <c r="AM8" s="781"/>
      <c r="AN8" s="781"/>
      <c r="AO8" s="781"/>
      <c r="AP8" s="781"/>
      <c r="AQ8" s="781"/>
      <c r="AR8" s="781"/>
      <c r="AS8" s="781"/>
      <c r="AT8" s="781"/>
    </row>
    <row r="9" spans="1:47" ht="21" hidden="1" customHeight="1">
      <c r="D9" s="1">
        <v>40</v>
      </c>
      <c r="AB9" s="781"/>
      <c r="AC9" s="781"/>
      <c r="AD9" s="781"/>
      <c r="AE9" s="781"/>
      <c r="AF9" s="781"/>
      <c r="AG9" s="781"/>
      <c r="AH9" s="781"/>
      <c r="AI9" s="781"/>
      <c r="AJ9" s="781"/>
      <c r="AK9" s="781"/>
      <c r="AL9" s="781"/>
      <c r="AM9" s="781"/>
      <c r="AN9" s="781"/>
      <c r="AO9" s="781"/>
      <c r="AP9" s="781"/>
      <c r="AQ9" s="781"/>
      <c r="AR9" s="781"/>
      <c r="AS9" s="781"/>
      <c r="AT9" s="781"/>
    </row>
    <row r="10" spans="1:47" ht="21" hidden="1" customHeight="1">
      <c r="D10" s="1">
        <v>40</v>
      </c>
      <c r="AB10" s="781"/>
      <c r="AC10" s="781"/>
      <c r="AD10" s="781"/>
      <c r="AE10" s="781"/>
      <c r="AF10" s="781"/>
      <c r="AG10" s="781"/>
      <c r="AH10" s="781"/>
      <c r="AI10" s="781"/>
      <c r="AJ10" s="781"/>
      <c r="AK10" s="781"/>
      <c r="AL10" s="781"/>
      <c r="AM10" s="781"/>
      <c r="AN10" s="781"/>
      <c r="AO10" s="781"/>
      <c r="AP10" s="781"/>
      <c r="AQ10" s="781"/>
      <c r="AR10" s="781"/>
      <c r="AS10" s="781"/>
      <c r="AT10" s="781"/>
    </row>
    <row r="11" spans="1:47" ht="21" hidden="1" customHeight="1">
      <c r="D11" s="1">
        <v>40</v>
      </c>
      <c r="AB11" s="781"/>
      <c r="AC11" s="781"/>
      <c r="AD11" s="781"/>
      <c r="AE11" s="781"/>
      <c r="AF11" s="781"/>
      <c r="AG11" s="781"/>
      <c r="AH11" s="781"/>
      <c r="AI11" s="781"/>
      <c r="AJ11" s="781"/>
      <c r="AK11" s="781"/>
      <c r="AL11" s="781"/>
      <c r="AM11" s="781"/>
      <c r="AN11" s="781"/>
      <c r="AO11" s="781"/>
      <c r="AP11" s="781"/>
      <c r="AQ11" s="781"/>
      <c r="AR11" s="781"/>
      <c r="AS11" s="781"/>
      <c r="AT11" s="781"/>
    </row>
    <row r="12" spans="1:47" ht="21" hidden="1" customHeight="1">
      <c r="D12" s="1">
        <v>40</v>
      </c>
      <c r="AB12" s="781"/>
      <c r="AC12" s="781"/>
      <c r="AD12" s="781"/>
      <c r="AE12" s="781"/>
      <c r="AF12" s="781"/>
      <c r="AG12" s="781"/>
      <c r="AH12" s="781"/>
      <c r="AI12" s="781"/>
      <c r="AJ12" s="781"/>
      <c r="AK12" s="781"/>
      <c r="AL12" s="781"/>
      <c r="AM12" s="781"/>
      <c r="AN12" s="781"/>
      <c r="AO12" s="781"/>
      <c r="AP12" s="781"/>
      <c r="AQ12" s="781"/>
      <c r="AR12" s="781"/>
      <c r="AS12" s="781"/>
      <c r="AT12" s="781"/>
    </row>
    <row r="13" spans="1:47" ht="21" hidden="1" customHeight="1">
      <c r="D13" s="1">
        <v>40</v>
      </c>
      <c r="AB13" s="781"/>
      <c r="AC13" s="781"/>
      <c r="AD13" s="781"/>
      <c r="AE13" s="781"/>
      <c r="AF13" s="781"/>
      <c r="AG13" s="781"/>
      <c r="AH13" s="781"/>
      <c r="AI13" s="781"/>
      <c r="AJ13" s="781"/>
      <c r="AK13" s="781"/>
      <c r="AL13" s="781"/>
      <c r="AM13" s="781"/>
      <c r="AN13" s="781"/>
      <c r="AO13" s="781"/>
      <c r="AP13" s="781"/>
      <c r="AQ13" s="781"/>
      <c r="AR13" s="781"/>
      <c r="AS13" s="781"/>
      <c r="AT13" s="781"/>
    </row>
    <row r="14" spans="1:47" ht="21" hidden="1" customHeight="1"/>
    <row r="15" spans="1:47" ht="21" hidden="1" customHeight="1"/>
    <row r="16" spans="1:47" ht="21" hidden="1" customHeight="1"/>
    <row r="17" spans="4:46" ht="21" hidden="1" customHeight="1"/>
    <row r="18" spans="4:46" ht="21" hidden="1" customHeight="1"/>
    <row r="19" spans="4:46" ht="21" hidden="1" customHeight="1"/>
    <row r="20" spans="4:46" ht="30" customHeight="1">
      <c r="D20" s="1">
        <v>40</v>
      </c>
    </row>
    <row r="21" spans="4:46" ht="30" customHeight="1">
      <c r="D21" s="1">
        <v>40</v>
      </c>
      <c r="AG21" s="937"/>
      <c r="AH21" s="937"/>
      <c r="AI21" s="937"/>
      <c r="AJ21" s="937"/>
      <c r="AK21" s="937"/>
      <c r="AL21" s="937"/>
      <c r="AM21" s="937"/>
      <c r="AN21" s="937"/>
      <c r="AO21" s="937"/>
    </row>
    <row r="22" spans="4:46" ht="30" customHeight="1">
      <c r="D22" s="1">
        <v>40</v>
      </c>
      <c r="AB22" s="938" t="str">
        <f>"Экспертное заключение об установлении тарифов на услуги по передаче электрической энергии по сетям "&amp;Титульный!AC27&amp;" на "&amp;Титульный!AC34&amp;" год в рамках долгосрочного периода регулирования ("&amp;Титульный!AC47&amp;" г.г.)"</f>
        <v>Экспертное заключение об установлении тарифов на услуги по передаче электрической энергии по сетям МУП "Горэлектросети" на 2026 год в рамках долгосрочного периода регулирования (2026-2030 г.г.)</v>
      </c>
      <c r="AC22" s="781"/>
      <c r="AD22" s="781"/>
      <c r="AE22" s="781"/>
      <c r="AF22" s="781"/>
      <c r="AG22" s="781"/>
      <c r="AH22" s="781"/>
      <c r="AI22" s="781"/>
      <c r="AJ22" s="781"/>
      <c r="AK22" s="781"/>
      <c r="AL22" s="781"/>
      <c r="AM22" s="781"/>
      <c r="AN22" s="781"/>
      <c r="AO22" s="781"/>
      <c r="AP22" s="781"/>
      <c r="AQ22" s="781"/>
      <c r="AR22" s="781"/>
      <c r="AS22" s="781"/>
      <c r="AT22" s="781"/>
    </row>
    <row r="23" spans="4:46" ht="30" customHeight="1">
      <c r="D23" s="1">
        <v>40</v>
      </c>
      <c r="AG23" s="939" t="str">
        <f>"Экспертиза выполнена на основании материалов, представленных
на утверждение в "&amp;AG21</f>
        <v xml:space="preserve">Экспертиза выполнена на основании материалов, представленных
на утверждение в </v>
      </c>
      <c r="AH23" s="781"/>
      <c r="AI23" s="781"/>
      <c r="AJ23" s="781"/>
      <c r="AK23" s="939" t="s">
        <v>1295</v>
      </c>
      <c r="AL23" s="781"/>
      <c r="AM23" s="781"/>
      <c r="AN23" s="781"/>
      <c r="AO23" s="781"/>
    </row>
    <row r="24" spans="4:46" ht="30" customHeight="1">
      <c r="D24" s="1">
        <v>40</v>
      </c>
    </row>
    <row r="25" spans="4:46" ht="30" customHeight="1">
      <c r="D25" s="1">
        <v>40</v>
      </c>
      <c r="AB25" s="940" t="s">
        <v>1296</v>
      </c>
      <c r="AC25" s="781"/>
      <c r="AD25" s="781"/>
      <c r="AE25" s="781"/>
      <c r="AF25" s="781"/>
      <c r="AG25" s="781"/>
      <c r="AH25" s="781"/>
      <c r="AI25" s="781"/>
      <c r="AJ25" s="781"/>
      <c r="AK25" s="781"/>
      <c r="AL25" s="781"/>
      <c r="AM25" s="781"/>
      <c r="AN25" s="781"/>
      <c r="AO25" s="781"/>
      <c r="AP25" s="781"/>
      <c r="AQ25" s="781"/>
    </row>
    <row r="26" spans="4:46" ht="18" customHeight="1">
      <c r="D26" s="1">
        <v>24</v>
      </c>
    </row>
    <row r="27" spans="4:46" ht="13.5" customHeight="1">
      <c r="D27" s="1">
        <v>18</v>
      </c>
      <c r="AB27" s="936" t="s">
        <v>1297</v>
      </c>
      <c r="AC27" s="781"/>
      <c r="AD27" s="781"/>
      <c r="AE27" s="781"/>
      <c r="AF27" s="781"/>
      <c r="AG27" s="894" t="str">
        <f>Титульный!AC27</f>
        <v>МУП "Горэлектросети"</v>
      </c>
      <c r="AH27" s="896"/>
      <c r="AI27" s="896"/>
      <c r="AJ27" s="896"/>
      <c r="AK27" s="896"/>
      <c r="AL27" s="896"/>
      <c r="AM27" s="896"/>
      <c r="AN27" s="896"/>
      <c r="AO27" s="896"/>
      <c r="AP27" s="896"/>
      <c r="AQ27" s="896"/>
    </row>
    <row r="28" spans="4:46" ht="13.5" customHeight="1">
      <c r="D28" s="1">
        <v>18</v>
      </c>
      <c r="AB28" s="936" t="s">
        <v>1298</v>
      </c>
      <c r="AC28" s="781"/>
      <c r="AD28" s="781"/>
      <c r="AE28" s="781"/>
      <c r="AF28" s="781"/>
      <c r="AG28" s="896" t="str">
        <f>Титульный!AC31&amp;" / "&amp;Титульный!AC32</f>
        <v>0400000157 / 041101001</v>
      </c>
      <c r="AH28" s="896"/>
      <c r="AI28" s="896"/>
      <c r="AJ28" s="896"/>
      <c r="AK28" s="896"/>
      <c r="AL28" s="896"/>
      <c r="AM28" s="896"/>
      <c r="AN28" s="896"/>
      <c r="AO28" s="896"/>
      <c r="AP28" s="896"/>
      <c r="AQ28" s="896"/>
    </row>
    <row r="29" spans="4:46" ht="13.5" customHeight="1">
      <c r="D29" s="1">
        <v>18</v>
      </c>
      <c r="AB29" s="936" t="s">
        <v>1299</v>
      </c>
      <c r="AC29" s="781"/>
      <c r="AD29" s="781"/>
      <c r="AE29" s="781"/>
      <c r="AF29" s="781"/>
      <c r="AG29" s="894" t="str">
        <f>Титульный!AC74</f>
        <v>649002, г. Горно-Алтайск ул. Связистов 1</v>
      </c>
      <c r="AH29" s="896"/>
      <c r="AI29" s="896"/>
      <c r="AJ29" s="896"/>
      <c r="AK29" s="896"/>
      <c r="AL29" s="896"/>
      <c r="AM29" s="896"/>
      <c r="AN29" s="896"/>
      <c r="AO29" s="896"/>
      <c r="AP29" s="896"/>
      <c r="AQ29" s="896"/>
    </row>
    <row r="30" spans="4:46" ht="13.5" customHeight="1">
      <c r="D30" s="1">
        <v>18</v>
      </c>
      <c r="AB30" s="936" t="s">
        <v>1300</v>
      </c>
      <c r="AC30" s="781"/>
      <c r="AD30" s="781"/>
      <c r="AE30" s="781"/>
      <c r="AF30" s="781"/>
      <c r="AG30" s="894" t="str">
        <f>Титульный!AC78</f>
        <v>Коренов Анатолий Аркадьевич</v>
      </c>
      <c r="AH30" s="896"/>
      <c r="AI30" s="896"/>
      <c r="AJ30" s="896"/>
      <c r="AK30" s="896"/>
      <c r="AL30" s="896"/>
      <c r="AM30" s="896"/>
      <c r="AN30" s="896"/>
      <c r="AO30" s="896"/>
      <c r="AP30" s="896"/>
      <c r="AQ30" s="896"/>
    </row>
    <row r="31" spans="4:46" ht="13.5" customHeight="1">
      <c r="D31" s="1">
        <v>18</v>
      </c>
      <c r="AB31" s="936" t="s">
        <v>1301</v>
      </c>
      <c r="AC31" s="781"/>
      <c r="AD31" s="781"/>
      <c r="AE31" s="781"/>
      <c r="AF31" s="781"/>
      <c r="AG31" s="894" t="str">
        <f>Титульный!AC86</f>
        <v>Кукин Сергей Анатольевич</v>
      </c>
      <c r="AH31" s="896"/>
      <c r="AI31" s="896"/>
      <c r="AJ31" s="896"/>
      <c r="AK31" s="896"/>
      <c r="AL31" s="896"/>
      <c r="AM31" s="896"/>
      <c r="AN31" s="896"/>
      <c r="AO31" s="896"/>
      <c r="AP31" s="896"/>
      <c r="AQ31" s="896"/>
      <c r="AR31" s="781"/>
      <c r="AS31" s="781"/>
      <c r="AT31" s="781"/>
    </row>
    <row r="32" spans="4:46" ht="13.5" customHeight="1">
      <c r="D32" s="1">
        <v>18</v>
      </c>
    </row>
    <row r="33" spans="4:46" ht="13.5" customHeight="1">
      <c r="D33" s="1">
        <v>18</v>
      </c>
      <c r="AB33" s="940" t="s">
        <v>1302</v>
      </c>
      <c r="AC33" s="781"/>
      <c r="AD33" s="781"/>
      <c r="AE33" s="781"/>
      <c r="AF33" s="781"/>
      <c r="AG33" s="781"/>
      <c r="AH33" s="781"/>
      <c r="AI33" s="781"/>
      <c r="AJ33" s="781"/>
      <c r="AK33" s="781"/>
      <c r="AL33" s="781"/>
      <c r="AM33" s="781"/>
      <c r="AN33" s="781"/>
      <c r="AO33" s="781"/>
      <c r="AP33" s="781"/>
      <c r="AQ33" s="781"/>
    </row>
    <row r="34" spans="4:46" ht="13.5" customHeight="1">
      <c r="D34" s="1">
        <v>18</v>
      </c>
    </row>
    <row r="35" spans="4:46" ht="13.5" customHeight="1">
      <c r="D35" s="1">
        <v>18</v>
      </c>
      <c r="AB35" s="936" t="s">
        <v>1303</v>
      </c>
      <c r="AC35" s="781"/>
      <c r="AD35" s="781"/>
      <c r="AE35" s="781"/>
      <c r="AF35" s="781"/>
      <c r="AG35" s="781"/>
      <c r="AH35" s="941" t="s">
        <v>1304</v>
      </c>
      <c r="AI35" s="781"/>
      <c r="AJ35" s="942"/>
      <c r="AK35" s="942"/>
      <c r="AL35" s="941" t="s">
        <v>1305</v>
      </c>
      <c r="AM35" s="781"/>
      <c r="AN35" s="943"/>
      <c r="AO35" s="943"/>
    </row>
    <row r="36" spans="4:46" ht="13.5" customHeight="1">
      <c r="D36" s="1">
        <v>18</v>
      </c>
      <c r="AB36" s="936" t="s">
        <v>1306</v>
      </c>
      <c r="AC36" s="781"/>
      <c r="AD36" s="781"/>
      <c r="AE36" s="781"/>
      <c r="AF36" s="781"/>
      <c r="AG36" s="781"/>
      <c r="AH36" s="941" t="s">
        <v>1304</v>
      </c>
      <c r="AI36" s="781"/>
      <c r="AJ36" s="942"/>
      <c r="AK36" s="942"/>
      <c r="AL36" s="781"/>
      <c r="AM36" s="781"/>
      <c r="AN36" s="781"/>
      <c r="AO36" s="781"/>
    </row>
    <row r="37" spans="4:46" ht="13.5" customHeight="1">
      <c r="D37" s="1">
        <v>18</v>
      </c>
      <c r="AB37" s="936" t="s">
        <v>1307</v>
      </c>
      <c r="AC37" s="781"/>
      <c r="AD37" s="781"/>
      <c r="AE37" s="781"/>
      <c r="AF37" s="781"/>
      <c r="AG37" s="781"/>
      <c r="AH37" s="941" t="s">
        <v>1304</v>
      </c>
      <c r="AI37" s="781"/>
      <c r="AJ37" s="942"/>
      <c r="AK37" s="942"/>
      <c r="AL37" s="941" t="s">
        <v>1305</v>
      </c>
      <c r="AM37" s="781"/>
      <c r="AN37" s="943"/>
      <c r="AO37" s="943"/>
    </row>
    <row r="38" spans="4:46" ht="13.5" customHeight="1">
      <c r="D38" s="1">
        <v>18</v>
      </c>
      <c r="AB38" s="936" t="s">
        <v>1308</v>
      </c>
      <c r="AC38" s="781"/>
      <c r="AD38" s="781"/>
      <c r="AE38" s="781"/>
      <c r="AF38" s="781"/>
      <c r="AG38" s="781"/>
      <c r="AH38" s="941" t="s">
        <v>1309</v>
      </c>
      <c r="AI38" s="781"/>
      <c r="AJ38" s="945"/>
      <c r="AK38" s="945"/>
      <c r="AL38" s="941" t="s">
        <v>1310</v>
      </c>
      <c r="AM38" s="781"/>
      <c r="AN38" s="942"/>
      <c r="AO38" s="942"/>
    </row>
    <row r="39" spans="4:46" ht="13.5" customHeight="1">
      <c r="D39" s="1">
        <v>18</v>
      </c>
      <c r="AB39" s="936" t="s">
        <v>1311</v>
      </c>
      <c r="AC39" s="781"/>
      <c r="AD39" s="781"/>
      <c r="AE39" s="781"/>
      <c r="AF39" s="781"/>
      <c r="AG39" s="781"/>
      <c r="AH39" s="946" t="str">
        <f>IF('Данные регулятора'!AD29="","",'Данные регулятора'!AD29)</f>
        <v/>
      </c>
      <c r="AI39" s="943"/>
      <c r="AJ39" s="943"/>
      <c r="AK39" s="943"/>
      <c r="AL39" s="943"/>
      <c r="AM39" s="943"/>
      <c r="AN39" s="943"/>
      <c r="AO39" s="943"/>
    </row>
    <row r="40" spans="4:46" ht="13.5" customHeight="1">
      <c r="D40" s="1">
        <v>18</v>
      </c>
    </row>
    <row r="41" spans="4:46" ht="13.5" customHeight="1">
      <c r="D41" s="1">
        <v>18</v>
      </c>
      <c r="AB41" s="940" t="s">
        <v>1312</v>
      </c>
      <c r="AC41" s="781"/>
      <c r="AD41" s="781"/>
      <c r="AE41" s="781"/>
      <c r="AF41" s="781"/>
      <c r="AG41" s="781"/>
      <c r="AH41" s="781"/>
      <c r="AI41" s="781"/>
      <c r="AJ41" s="781"/>
      <c r="AK41" s="781"/>
      <c r="AL41" s="781"/>
      <c r="AM41" s="781"/>
      <c r="AN41" s="781"/>
      <c r="AO41" s="781"/>
      <c r="AP41" s="781"/>
      <c r="AQ41" s="781"/>
    </row>
    <row r="42" spans="4:46" ht="13.5" customHeight="1">
      <c r="D42" s="1">
        <v>18</v>
      </c>
    </row>
    <row r="43" spans="4:46" ht="31.5" customHeight="1">
      <c r="D43" s="1">
        <v>42</v>
      </c>
      <c r="AB43" s="944" t="s">
        <v>1313</v>
      </c>
      <c r="AC43" s="944"/>
      <c r="AD43" s="944"/>
      <c r="AE43" s="944"/>
      <c r="AF43" s="944"/>
      <c r="AG43" s="944"/>
      <c r="AH43" s="944"/>
      <c r="AI43" s="944"/>
      <c r="AJ43" s="944"/>
      <c r="AK43" s="944"/>
      <c r="AL43" s="944"/>
      <c r="AM43" s="944"/>
      <c r="AN43" s="944"/>
      <c r="AO43" s="944"/>
      <c r="AP43" s="944"/>
      <c r="AQ43" s="944"/>
      <c r="AR43" s="944"/>
      <c r="AS43" s="944"/>
      <c r="AT43" s="944"/>
    </row>
    <row r="44" spans="4:46" ht="13.5" customHeight="1">
      <c r="D44" s="1">
        <v>18</v>
      </c>
    </row>
    <row r="45" spans="4:46" ht="13.5" customHeight="1">
      <c r="D45" s="1">
        <v>18</v>
      </c>
      <c r="AB45" s="944" t="s">
        <v>1314</v>
      </c>
      <c r="AC45" s="944"/>
      <c r="AD45" s="944"/>
      <c r="AE45" s="944"/>
      <c r="AF45" s="944"/>
      <c r="AG45" s="944"/>
      <c r="AH45" s="944"/>
      <c r="AI45" s="944"/>
      <c r="AJ45" s="944"/>
      <c r="AK45" s="944"/>
      <c r="AL45" s="944"/>
      <c r="AM45" s="944"/>
      <c r="AN45" s="944"/>
      <c r="AO45" s="944"/>
      <c r="AP45" s="944"/>
      <c r="AQ45" s="944"/>
      <c r="AR45" s="944"/>
      <c r="AS45" s="944"/>
      <c r="AT45" s="944"/>
    </row>
    <row r="46" spans="4:46" ht="13.5" customHeight="1">
      <c r="D46" s="1">
        <v>18</v>
      </c>
      <c r="AB46" s="944" t="s">
        <v>1315</v>
      </c>
      <c r="AC46" s="944"/>
      <c r="AD46" s="944"/>
      <c r="AE46" s="944"/>
      <c r="AF46" s="944"/>
      <c r="AG46" s="944"/>
      <c r="AH46" s="944"/>
      <c r="AI46" s="944"/>
      <c r="AJ46" s="944"/>
      <c r="AK46" s="944"/>
      <c r="AL46" s="944"/>
      <c r="AM46" s="944"/>
      <c r="AN46" s="944"/>
      <c r="AO46" s="944"/>
      <c r="AP46" s="944"/>
      <c r="AQ46" s="944"/>
      <c r="AR46" s="944"/>
      <c r="AS46" s="944"/>
      <c r="AT46" s="944"/>
    </row>
    <row r="47" spans="4:46" ht="13.5" customHeight="1">
      <c r="D47" s="1">
        <v>18</v>
      </c>
      <c r="AB47" s="944" t="s">
        <v>1316</v>
      </c>
      <c r="AC47" s="944"/>
      <c r="AD47" s="944"/>
      <c r="AE47" s="944"/>
      <c r="AF47" s="944"/>
      <c r="AG47" s="944"/>
      <c r="AH47" s="944"/>
      <c r="AI47" s="944"/>
      <c r="AJ47" s="944"/>
      <c r="AK47" s="944"/>
      <c r="AL47" s="944"/>
      <c r="AM47" s="944"/>
      <c r="AN47" s="944"/>
      <c r="AO47" s="944"/>
      <c r="AP47" s="944"/>
      <c r="AQ47" s="944"/>
      <c r="AR47" s="944"/>
      <c r="AS47" s="944"/>
      <c r="AT47" s="944"/>
    </row>
    <row r="48" spans="4:46" ht="13.5" customHeight="1">
      <c r="D48" s="1">
        <v>18</v>
      </c>
      <c r="AB48" s="896" t="s">
        <v>1317</v>
      </c>
      <c r="AC48" s="896"/>
      <c r="AD48" s="896"/>
      <c r="AE48" s="896"/>
      <c r="AF48" s="896"/>
      <c r="AG48" s="896"/>
      <c r="AH48" s="896"/>
      <c r="AI48" s="896"/>
      <c r="AJ48" s="896"/>
      <c r="AK48" s="896"/>
      <c r="AL48" s="896"/>
      <c r="AM48" s="896"/>
      <c r="AN48" s="896"/>
      <c r="AO48" s="896"/>
      <c r="AP48" s="896"/>
      <c r="AQ48" s="896"/>
      <c r="AR48" s="896"/>
      <c r="AS48" s="896"/>
      <c r="AT48" s="896"/>
    </row>
    <row r="49" spans="4:46" ht="13.5" customHeight="1">
      <c r="D49" s="1">
        <v>18</v>
      </c>
      <c r="AB49" s="896" t="s">
        <v>1318</v>
      </c>
      <c r="AC49" s="896"/>
      <c r="AD49" s="896"/>
      <c r="AE49" s="896"/>
      <c r="AF49" s="896"/>
      <c r="AG49" s="896"/>
      <c r="AH49" s="896"/>
      <c r="AI49" s="896"/>
      <c r="AJ49" s="896"/>
      <c r="AK49" s="896"/>
      <c r="AL49" s="896"/>
      <c r="AM49" s="896"/>
      <c r="AN49" s="896"/>
      <c r="AO49" s="896"/>
      <c r="AP49" s="896"/>
      <c r="AQ49" s="896"/>
      <c r="AR49" s="896"/>
      <c r="AS49" s="896"/>
      <c r="AT49" s="896"/>
    </row>
    <row r="50" spans="4:46" ht="39.75" customHeight="1">
      <c r="D50" s="1">
        <v>53</v>
      </c>
      <c r="AB50" s="944" t="s">
        <v>1319</v>
      </c>
      <c r="AC50" s="944"/>
      <c r="AD50" s="944"/>
      <c r="AE50" s="944"/>
      <c r="AF50" s="944"/>
      <c r="AG50" s="944"/>
      <c r="AH50" s="944"/>
      <c r="AI50" s="944"/>
      <c r="AJ50" s="944"/>
      <c r="AK50" s="944"/>
      <c r="AL50" s="944"/>
      <c r="AM50" s="944"/>
      <c r="AN50" s="944"/>
      <c r="AO50" s="944"/>
      <c r="AP50" s="944"/>
      <c r="AQ50" s="944"/>
      <c r="AR50" s="944"/>
      <c r="AS50" s="944"/>
      <c r="AT50" s="944"/>
    </row>
    <row r="51" spans="4:46" ht="13.5" customHeight="1">
      <c r="D51" s="1">
        <v>18</v>
      </c>
      <c r="AB51" s="944" t="s">
        <v>1320</v>
      </c>
      <c r="AC51" s="944"/>
      <c r="AD51" s="944"/>
      <c r="AE51" s="944"/>
      <c r="AF51" s="944"/>
      <c r="AG51" s="944"/>
      <c r="AH51" s="944"/>
      <c r="AI51" s="944"/>
      <c r="AJ51" s="944"/>
      <c r="AK51" s="944"/>
      <c r="AL51" s="944"/>
      <c r="AM51" s="944"/>
      <c r="AN51" s="944"/>
      <c r="AO51" s="944"/>
      <c r="AP51" s="944"/>
      <c r="AQ51" s="944"/>
      <c r="AR51" s="944"/>
      <c r="AS51" s="944"/>
      <c r="AT51" s="944"/>
    </row>
    <row r="52" spans="4:46" ht="13.5" customHeight="1">
      <c r="D52" s="1">
        <v>18</v>
      </c>
      <c r="AB52" s="944" t="s">
        <v>1321</v>
      </c>
      <c r="AC52" s="944"/>
      <c r="AD52" s="944"/>
      <c r="AE52" s="944"/>
      <c r="AF52" s="944"/>
      <c r="AG52" s="944"/>
      <c r="AH52" s="944"/>
      <c r="AI52" s="944"/>
      <c r="AJ52" s="944"/>
      <c r="AK52" s="944"/>
      <c r="AL52" s="944"/>
      <c r="AM52" s="944"/>
      <c r="AN52" s="944"/>
      <c r="AO52" s="944"/>
      <c r="AP52" s="944"/>
      <c r="AQ52" s="944"/>
      <c r="AR52" s="944"/>
      <c r="AS52" s="944"/>
      <c r="AT52" s="944"/>
    </row>
    <row r="53" spans="4:46" ht="13.5" customHeight="1">
      <c r="D53" s="1">
        <v>18</v>
      </c>
      <c r="AB53" s="896" t="s">
        <v>1322</v>
      </c>
      <c r="AC53" s="896"/>
      <c r="AD53" s="896"/>
      <c r="AE53" s="896"/>
      <c r="AF53" s="896"/>
      <c r="AG53" s="896"/>
      <c r="AH53" s="896"/>
      <c r="AI53" s="896"/>
      <c r="AJ53" s="896"/>
      <c r="AK53" s="896"/>
      <c r="AL53" s="896"/>
      <c r="AM53" s="896"/>
      <c r="AN53" s="896"/>
      <c r="AO53" s="896"/>
      <c r="AP53" s="896"/>
      <c r="AQ53" s="896"/>
      <c r="AR53" s="896"/>
      <c r="AS53" s="896"/>
      <c r="AT53" s="896"/>
    </row>
    <row r="54" spans="4:46" ht="35.25" customHeight="1">
      <c r="D54" s="1">
        <v>47</v>
      </c>
      <c r="AB54" s="944" t="s">
        <v>1323</v>
      </c>
      <c r="AC54" s="944"/>
      <c r="AD54" s="944"/>
      <c r="AE54" s="944"/>
      <c r="AF54" s="944"/>
      <c r="AG54" s="944"/>
      <c r="AH54" s="944"/>
      <c r="AI54" s="944"/>
      <c r="AJ54" s="944"/>
      <c r="AK54" s="944"/>
      <c r="AL54" s="944"/>
      <c r="AM54" s="944"/>
      <c r="AN54" s="944"/>
      <c r="AO54" s="944"/>
      <c r="AP54" s="944"/>
      <c r="AQ54" s="944"/>
      <c r="AR54" s="944"/>
      <c r="AS54" s="944"/>
      <c r="AT54" s="944"/>
    </row>
    <row r="55" spans="4:46" ht="13.5" customHeight="1">
      <c r="D55" s="1">
        <v>18</v>
      </c>
      <c r="AB55" s="896" t="s">
        <v>1324</v>
      </c>
      <c r="AC55" s="896"/>
      <c r="AD55" s="896"/>
      <c r="AE55" s="896"/>
      <c r="AF55" s="896"/>
      <c r="AG55" s="896"/>
      <c r="AH55" s="896"/>
      <c r="AI55" s="896"/>
      <c r="AJ55" s="896"/>
      <c r="AK55" s="896"/>
      <c r="AL55" s="896"/>
      <c r="AM55" s="896"/>
      <c r="AN55" s="896"/>
      <c r="AO55" s="896"/>
      <c r="AP55" s="896"/>
      <c r="AQ55" s="896"/>
      <c r="AR55" s="896"/>
      <c r="AS55" s="896"/>
      <c r="AT55" s="896"/>
    </row>
    <row r="56" spans="4:46" ht="31.5" customHeight="1">
      <c r="D56" s="1">
        <v>42</v>
      </c>
      <c r="AB56" s="896" t="s">
        <v>1325</v>
      </c>
      <c r="AC56" s="896"/>
      <c r="AD56" s="896"/>
      <c r="AE56" s="896"/>
      <c r="AF56" s="896"/>
      <c r="AG56" s="896"/>
      <c r="AH56" s="896"/>
      <c r="AI56" s="896"/>
      <c r="AJ56" s="896"/>
      <c r="AK56" s="896"/>
      <c r="AL56" s="896"/>
      <c r="AM56" s="896"/>
      <c r="AN56" s="896"/>
      <c r="AO56" s="896"/>
      <c r="AP56" s="896"/>
      <c r="AQ56" s="896"/>
      <c r="AR56" s="896"/>
      <c r="AS56" s="896"/>
      <c r="AT56" s="896"/>
    </row>
    <row r="57" spans="4:46" ht="13.5" customHeight="1">
      <c r="D57" s="1">
        <v>18</v>
      </c>
      <c r="AB57" s="896" t="str">
        <f>"13. Положение о "&amp;AG21</f>
        <v xml:space="preserve">13. Положение о </v>
      </c>
      <c r="AC57" s="896"/>
      <c r="AD57" s="896"/>
      <c r="AE57" s="896"/>
      <c r="AF57" s="896"/>
      <c r="AG57" s="896"/>
      <c r="AH57" s="943"/>
      <c r="AI57" s="943"/>
      <c r="AJ57" s="943"/>
      <c r="AK57" s="943"/>
      <c r="AL57" s="943"/>
      <c r="AM57" s="943"/>
      <c r="AN57" s="943"/>
      <c r="AO57" s="943"/>
    </row>
    <row r="58" spans="4:46" ht="33.75" customHeight="1">
      <c r="D58" s="1">
        <v>45</v>
      </c>
      <c r="AB58" s="896" t="str">
        <f>"14. Приказ ФАС России «О внесении изменений в сводный прогнозный баланс производства и поставок электрической энергии (мощности) в рамках Единой энергетической системы России по субъектам российской федерации на "&amp;PRD&amp;" год»"</f>
        <v>14. Приказ ФАС России «О внесении изменений в сводный прогнозный баланс производства и поставок электрической энергии (мощности) в рамках Единой энергетической системы России по субъектам российской федерации на 2026 год»</v>
      </c>
      <c r="AC58" s="896" t="str">
        <f>"Утвержденный тариф на потери электрической энергии с учетом сбытовой надбавки гарантирующего поставщика "</f>
        <v xml:space="preserve">Утвержденный тариф на потери электрической энергии с учетом сбытовой надбавки гарантирующего поставщика </v>
      </c>
      <c r="AD58" s="896"/>
      <c r="AE58" s="896"/>
      <c r="AF58" s="896"/>
      <c r="AG58" s="896"/>
      <c r="AH58" s="896"/>
      <c r="AI58" s="896"/>
      <c r="AJ58" s="896"/>
      <c r="AK58" s="896"/>
      <c r="AL58" s="896"/>
      <c r="AM58" s="896"/>
      <c r="AN58" s="896"/>
      <c r="AO58" s="896"/>
      <c r="AP58" s="896"/>
      <c r="AQ58" s="896"/>
      <c r="AR58" s="896"/>
      <c r="AS58" s="896"/>
      <c r="AT58" s="896"/>
    </row>
    <row r="59" spans="4:46" ht="13.5" customHeight="1">
      <c r="D59" s="1">
        <v>18</v>
      </c>
      <c r="AB59" s="290" t="s">
        <v>1326</v>
      </c>
      <c r="AC59" s="947"/>
      <c r="AD59" s="948"/>
      <c r="AE59" s="290" t="s">
        <v>1327</v>
      </c>
      <c r="AF59" s="947"/>
      <c r="AG59" s="948"/>
    </row>
    <row r="60" spans="4:46" ht="13.5" customHeight="1">
      <c r="D60" s="1">
        <v>18</v>
      </c>
      <c r="AB60" s="896" t="s">
        <v>1328</v>
      </c>
      <c r="AC60" s="896"/>
      <c r="AD60" s="896"/>
      <c r="AE60" s="896"/>
      <c r="AF60" s="896"/>
      <c r="AG60" s="896"/>
      <c r="AH60" s="896"/>
      <c r="AI60" s="896"/>
      <c r="AJ60" s="896"/>
      <c r="AK60" s="896"/>
      <c r="AL60" s="896"/>
      <c r="AM60" s="896"/>
      <c r="AN60" s="896"/>
      <c r="AO60" s="896"/>
      <c r="AP60" s="896"/>
      <c r="AQ60" s="896"/>
      <c r="AR60" s="896"/>
      <c r="AS60" s="896"/>
      <c r="AT60" s="896"/>
    </row>
    <row r="61" spans="4:46" ht="13.5" customHeight="1">
      <c r="D61" s="1">
        <v>18</v>
      </c>
      <c r="AB61" s="896" t="s">
        <v>1329</v>
      </c>
      <c r="AC61" s="896"/>
      <c r="AD61" s="896"/>
      <c r="AE61" s="896"/>
      <c r="AF61" s="896"/>
      <c r="AG61" s="896"/>
      <c r="AH61" s="896"/>
      <c r="AI61" s="896"/>
      <c r="AJ61" s="896"/>
      <c r="AK61" s="896"/>
      <c r="AL61" s="896"/>
      <c r="AM61" s="896"/>
      <c r="AN61" s="896"/>
      <c r="AO61" s="896"/>
      <c r="AP61" s="896"/>
      <c r="AQ61" s="896"/>
      <c r="AR61" s="896"/>
      <c r="AS61" s="896"/>
      <c r="AT61" s="896"/>
    </row>
    <row r="62" spans="4:46" ht="13.5" customHeight="1">
      <c r="D62" s="1">
        <v>18</v>
      </c>
      <c r="AB62" s="896" t="s">
        <v>1330</v>
      </c>
      <c r="AC62" s="896"/>
      <c r="AD62" s="896"/>
      <c r="AE62" s="896"/>
      <c r="AF62" s="896"/>
      <c r="AG62" s="896"/>
      <c r="AH62" s="896"/>
      <c r="AI62" s="896"/>
      <c r="AJ62" s="896"/>
      <c r="AK62" s="896"/>
      <c r="AL62" s="896"/>
      <c r="AM62" s="896"/>
      <c r="AN62" s="896"/>
      <c r="AO62" s="896"/>
      <c r="AP62" s="896"/>
      <c r="AQ62" s="896"/>
      <c r="AR62" s="896"/>
      <c r="AS62" s="896"/>
      <c r="AT62" s="896"/>
    </row>
    <row r="63" spans="4:46" ht="13.5" customHeight="1">
      <c r="D63" s="1">
        <v>18</v>
      </c>
    </row>
    <row r="64" spans="4:46" ht="13.5" customHeight="1">
      <c r="D64" s="1">
        <v>18</v>
      </c>
      <c r="AB64" s="896" t="s">
        <v>1331</v>
      </c>
      <c r="AC64" s="896"/>
      <c r="AD64" s="896"/>
      <c r="AE64" s="896"/>
      <c r="AF64" s="896"/>
      <c r="AG64" s="896"/>
      <c r="AH64" s="896"/>
      <c r="AI64" s="896"/>
      <c r="AJ64" s="896"/>
      <c r="AK64" s="896"/>
      <c r="AL64" s="896"/>
      <c r="AM64" s="896"/>
      <c r="AN64" s="896"/>
      <c r="AO64" s="896"/>
      <c r="AP64" s="896"/>
      <c r="AQ64" s="896"/>
      <c r="AR64" s="896"/>
      <c r="AS64" s="896"/>
      <c r="AT64" s="896"/>
    </row>
    <row r="65" spans="4:46" ht="13.5" customHeight="1">
      <c r="D65" s="1">
        <v>18</v>
      </c>
      <c r="AB65" s="896" t="str">
        <f>"21.02.2011 № 97, из сотрудников _______________________ была сформирована экспертная группа по определению на "&amp;PRD&amp;" год необходимой валовой выручки на услуги по передаче электрической энергии (далее – эксперты)."</f>
        <v>21.02.2011 № 97, из сотрудников _______________________ была сформирована экспертная группа по определению на 2026 год необходимой валовой выручки на услуги по передаче электрической энергии (далее – эксперты).</v>
      </c>
      <c r="AC65" s="896"/>
      <c r="AD65" s="896"/>
      <c r="AE65" s="896"/>
      <c r="AF65" s="896"/>
      <c r="AG65" s="896"/>
      <c r="AH65" s="896"/>
      <c r="AI65" s="896"/>
      <c r="AJ65" s="896"/>
      <c r="AK65" s="896"/>
      <c r="AL65" s="896"/>
      <c r="AM65" s="896"/>
      <c r="AN65" s="896"/>
      <c r="AO65" s="896"/>
      <c r="AP65" s="896"/>
      <c r="AQ65" s="896"/>
      <c r="AR65" s="896"/>
      <c r="AS65" s="896"/>
      <c r="AT65" s="896"/>
    </row>
    <row r="66" spans="4:46" ht="13.5" customHeight="1">
      <c r="D66" s="1">
        <v>18</v>
      </c>
    </row>
    <row r="67" spans="4:46" ht="13.5" customHeight="1">
      <c r="D67">
        <v>18</v>
      </c>
    </row>
    <row r="68" spans="4:46" ht="13.5" customHeight="1">
      <c r="D68" s="1">
        <v>18</v>
      </c>
      <c r="AB68" s="940" t="s">
        <v>1332</v>
      </c>
      <c r="AC68" s="781"/>
      <c r="AD68" s="781"/>
      <c r="AE68" s="781"/>
      <c r="AF68" s="781"/>
      <c r="AG68" s="781"/>
      <c r="AH68" s="781"/>
      <c r="AI68" s="781"/>
      <c r="AJ68" s="781"/>
      <c r="AK68" s="781"/>
      <c r="AL68" s="781"/>
      <c r="AM68" s="781"/>
      <c r="AN68" s="781"/>
      <c r="AO68" s="781"/>
      <c r="AP68" s="781"/>
      <c r="AQ68" s="781"/>
    </row>
    <row r="69" spans="4:46" ht="13.5" customHeight="1">
      <c r="D69" s="1">
        <v>18</v>
      </c>
    </row>
    <row r="70" spans="4:46" ht="31.5" customHeight="1">
      <c r="D70" s="1">
        <v>42</v>
      </c>
      <c r="AB70" s="896" t="str">
        <f>"1. Предметом экспертизы являются обосновывающие и расчетные материалы  "&amp;Титульный!AC27&amp;", определяющие тариф на передачу электрической энергии на  "&amp;Титульный!AC34&amp;" год, соответствия их действующей нормативноправовой базе по государственному регулированию тарифов"</f>
        <v>1. Предметом экспертизы являются обосновывающие и расчетные материалы  МУП "Горэлектросети", определяющие тариф на передачу электрической энергии на  2026 год, соответствия их действующей нормативноправовой базе по государственному регулированию тарифов</v>
      </c>
      <c r="AC70" s="896"/>
      <c r="AD70" s="896"/>
      <c r="AE70" s="896"/>
      <c r="AF70" s="896"/>
      <c r="AG70" s="896"/>
      <c r="AH70" s="896"/>
      <c r="AI70" s="896"/>
      <c r="AJ70" s="896"/>
      <c r="AK70" s="896"/>
      <c r="AL70" s="896"/>
      <c r="AM70" s="896"/>
      <c r="AN70" s="896"/>
      <c r="AO70" s="896"/>
      <c r="AP70" s="896"/>
      <c r="AQ70" s="896"/>
      <c r="AR70" s="896"/>
      <c r="AS70" s="896"/>
      <c r="AT70" s="896"/>
    </row>
    <row r="71" spans="4:46" ht="31.5" customHeight="1">
      <c r="D71" s="1">
        <v>42</v>
      </c>
      <c r="AB71" s="896" t="str">
        <f>"2. Целью настоящей экспертизы является определение экономически обоснованного тарифа на передачу электрической энергии по сетям  "&amp;Титульный!AC27&amp;", на территории "&amp;Титульный!AC23&amp;" на  "&amp;Титульный!AC34&amp;" год"</f>
        <v>2. Целью настоящей экспертизы является определение экономически обоснованного тарифа на передачу электрической энергии по сетям  МУП "Горэлектросети", на территории Республика Алтай на  2026 год</v>
      </c>
      <c r="AC71" s="896"/>
      <c r="AD71" s="896"/>
      <c r="AE71" s="896"/>
      <c r="AF71" s="896"/>
      <c r="AG71" s="896"/>
      <c r="AH71" s="896"/>
      <c r="AI71" s="896"/>
      <c r="AJ71" s="896"/>
      <c r="AK71" s="896"/>
      <c r="AL71" s="896"/>
      <c r="AM71" s="896"/>
      <c r="AN71" s="896"/>
      <c r="AO71" s="896"/>
      <c r="AP71" s="896"/>
      <c r="AQ71" s="896"/>
      <c r="AR71" s="896"/>
      <c r="AS71" s="896"/>
      <c r="AT71" s="896"/>
    </row>
    <row r="72" spans="4:46" ht="15" customHeight="1">
      <c r="D72" s="1">
        <v>20</v>
      </c>
    </row>
    <row r="73" spans="4:46" ht="67.5" customHeight="1">
      <c r="D73" s="1">
        <v>90</v>
      </c>
      <c r="AB73" s="896" t="s">
        <v>1333</v>
      </c>
      <c r="AC73" s="896"/>
      <c r="AD73" s="896"/>
      <c r="AE73" s="896"/>
      <c r="AF73" s="896"/>
      <c r="AG73" s="896"/>
      <c r="AH73" s="896"/>
      <c r="AI73" s="896"/>
      <c r="AJ73" s="896"/>
      <c r="AK73" s="896"/>
      <c r="AL73" s="896"/>
      <c r="AM73" s="896"/>
      <c r="AN73" s="896"/>
      <c r="AO73" s="896"/>
      <c r="AP73" s="896"/>
      <c r="AQ73" s="896"/>
      <c r="AR73" s="896"/>
      <c r="AS73" s="896"/>
      <c r="AT73" s="896"/>
    </row>
    <row r="74" spans="4:46" ht="67.5" customHeight="1">
      <c r="D74" s="1">
        <v>90</v>
      </c>
      <c r="AB74" s="896"/>
      <c r="AC74" s="896"/>
      <c r="AD74" s="896"/>
      <c r="AE74" s="896"/>
      <c r="AF74" s="896"/>
      <c r="AG74" s="896"/>
      <c r="AH74" s="896"/>
      <c r="AI74" s="896"/>
      <c r="AJ74" s="896"/>
      <c r="AK74" s="896"/>
      <c r="AL74" s="896"/>
      <c r="AM74" s="896"/>
      <c r="AN74" s="896"/>
      <c r="AO74" s="896"/>
      <c r="AP74" s="896"/>
      <c r="AQ74" s="896"/>
      <c r="AR74" s="896"/>
      <c r="AS74" s="896"/>
      <c r="AT74" s="896"/>
    </row>
    <row r="75" spans="4:46" ht="13.5" customHeight="1">
      <c r="D75" s="1">
        <v>18</v>
      </c>
      <c r="AB75" s="940" t="s">
        <v>1334</v>
      </c>
      <c r="AC75" s="781"/>
      <c r="AD75" s="781"/>
      <c r="AE75" s="781"/>
      <c r="AF75" s="781"/>
      <c r="AG75" s="781"/>
      <c r="AH75" s="781"/>
      <c r="AI75" s="781"/>
      <c r="AJ75" s="781"/>
      <c r="AK75" s="781"/>
      <c r="AL75" s="781"/>
      <c r="AM75" s="781"/>
      <c r="AN75" s="781"/>
      <c r="AO75" s="781"/>
      <c r="AP75" s="781"/>
      <c r="AQ75" s="781"/>
    </row>
    <row r="76" spans="4:46" ht="13.5" customHeight="1">
      <c r="D76" s="1">
        <v>18</v>
      </c>
    </row>
    <row r="77" spans="4:46" ht="13.5" customHeight="1">
      <c r="D77" s="1">
        <v>18</v>
      </c>
      <c r="AB77" s="896" t="s">
        <v>1335</v>
      </c>
      <c r="AC77" s="896"/>
      <c r="AD77" s="896"/>
      <c r="AE77" s="896"/>
      <c r="AF77" s="896"/>
      <c r="AG77" s="896"/>
      <c r="AH77" s="896"/>
      <c r="AI77" s="896"/>
      <c r="AJ77" s="896"/>
      <c r="AK77" s="896"/>
      <c r="AL77" s="896"/>
      <c r="AM77" s="896"/>
      <c r="AN77" s="896"/>
      <c r="AO77" s="896"/>
      <c r="AP77" s="896"/>
      <c r="AQ77" s="896"/>
      <c r="AR77" s="896"/>
      <c r="AS77" s="896"/>
      <c r="AT77" s="896"/>
    </row>
    <row r="78" spans="4:46" ht="13.5" customHeight="1">
      <c r="D78" s="1">
        <v>18</v>
      </c>
      <c r="AB78" s="896" t="str">
        <f>"29.12.2011 (далее – Основы ценообразования), в отношении "&amp;Титульный!AC27&amp;", осуществляющему регулируемую деятельность оказания услуг по передаче электрической энергии,"</f>
        <v>29.12.2011 (далее – Основы ценообразования), в отношении МУП "Горэлектросети", осуществляющему регулируемую деятельность оказания услуг по передаче электрической энергии,</v>
      </c>
      <c r="AC78" s="896"/>
      <c r="AD78" s="896"/>
      <c r="AE78" s="896"/>
      <c r="AF78" s="896"/>
      <c r="AG78" s="896"/>
      <c r="AH78" s="896"/>
      <c r="AI78" s="896"/>
      <c r="AJ78" s="896"/>
      <c r="AK78" s="896"/>
      <c r="AL78" s="896"/>
      <c r="AM78" s="896"/>
      <c r="AN78" s="896"/>
      <c r="AO78" s="896"/>
      <c r="AP78" s="896"/>
      <c r="AQ78" s="896"/>
      <c r="AR78" s="896"/>
      <c r="AS78" s="896"/>
      <c r="AT78" s="896"/>
    </row>
    <row r="79" spans="4:46" ht="13.5" customHeight="1">
      <c r="D79" s="1">
        <v>18</v>
      </c>
      <c r="AB79" s="896" t="str">
        <f>"регулирующим органом выбран метод долгосрочной индексации необходимой валовой выручки. Долгосрочный период регулирования установлен на срок "&amp;PERIOD_LENGTH&amp;" лет ("&amp;PERIOD_IN_LT&amp;" годы)."</f>
        <v>регулирующим органом выбран метод долгосрочной индексации необходимой валовой выручки. Долгосрочный период регулирования установлен на срок 5 лет (2026-2030 годы).</v>
      </c>
      <c r="AC79" s="896"/>
      <c r="AD79" s="896"/>
      <c r="AE79" s="896"/>
      <c r="AF79" s="896"/>
      <c r="AG79" s="896"/>
      <c r="AH79" s="896"/>
      <c r="AI79" s="896"/>
      <c r="AJ79" s="896"/>
      <c r="AK79" s="896"/>
      <c r="AL79" s="896"/>
      <c r="AM79" s="896"/>
      <c r="AN79" s="896"/>
      <c r="AO79" s="896"/>
      <c r="AP79" s="896"/>
      <c r="AQ79" s="896"/>
      <c r="AR79" s="896"/>
      <c r="AS79" s="896"/>
      <c r="AT79" s="896"/>
    </row>
    <row r="80" spans="4:46" ht="13.5" customHeight="1">
      <c r="D80" s="1">
        <v>18</v>
      </c>
      <c r="AB80" s="896" t="str">
        <f>"При проведении экспертизы экономически обоснованных тарифов на передачу электрической энергии по сетям "&amp;Титульный!AC27&amp;" на "&amp;PRD&amp;" год использовались следующие методы:"</f>
        <v>При проведении экспертизы экономически обоснованных тарифов на передачу электрической энергии по сетям МУП "Горэлектросети" на 2026 год использовались следующие методы:</v>
      </c>
      <c r="AC80" s="896"/>
      <c r="AD80" s="896"/>
      <c r="AE80" s="896"/>
      <c r="AF80" s="896"/>
      <c r="AG80" s="896"/>
      <c r="AH80" s="896"/>
      <c r="AI80" s="896"/>
      <c r="AJ80" s="896"/>
      <c r="AK80" s="896"/>
      <c r="AL80" s="896"/>
      <c r="AM80" s="896"/>
      <c r="AN80" s="896"/>
      <c r="AO80" s="896"/>
      <c r="AP80" s="896"/>
      <c r="AQ80" s="896"/>
      <c r="AR80" s="896"/>
      <c r="AS80" s="896"/>
      <c r="AT80" s="896"/>
    </row>
    <row r="81" spans="4:46" ht="13.5" customHeight="1">
      <c r="D81" s="1">
        <v>18</v>
      </c>
      <c r="AB81" s="896" t="str">
        <f>"•	оценка финансового состояния и производственных показателей "&amp;Титульный!AC27</f>
        <v>•	оценка финансового состояния и производственных показателей МУП "Горэлектросети"</v>
      </c>
      <c r="AC81" s="896"/>
      <c r="AD81" s="896"/>
      <c r="AE81" s="896"/>
      <c r="AF81" s="896"/>
      <c r="AG81" s="896"/>
      <c r="AH81" s="896"/>
      <c r="AI81" s="896"/>
      <c r="AJ81" s="896"/>
      <c r="AK81" s="896"/>
      <c r="AL81" s="896"/>
      <c r="AM81" s="896"/>
      <c r="AN81" s="896"/>
      <c r="AO81" s="896"/>
      <c r="AP81" s="896"/>
      <c r="AQ81" s="896"/>
      <c r="AR81" s="896"/>
      <c r="AS81" s="896"/>
      <c r="AT81" s="896"/>
    </row>
    <row r="82" spans="4:46" ht="13.5" customHeight="1">
      <c r="D82" s="1">
        <v>18</v>
      </c>
      <c r="AB82" s="896" t="s">
        <v>1336</v>
      </c>
      <c r="AC82" s="896"/>
      <c r="AD82" s="896"/>
      <c r="AE82" s="896"/>
      <c r="AF82" s="896"/>
      <c r="AG82" s="896"/>
      <c r="AH82" s="896"/>
      <c r="AI82" s="896"/>
      <c r="AJ82" s="896"/>
      <c r="AK82" s="896"/>
      <c r="AL82" s="896"/>
      <c r="AM82" s="896"/>
      <c r="AN82" s="896"/>
      <c r="AO82" s="896"/>
      <c r="AP82" s="896"/>
      <c r="AQ82" s="896"/>
      <c r="AR82" s="896"/>
      <c r="AS82" s="896"/>
      <c r="AT82" s="896"/>
    </row>
    <row r="83" spans="4:46" ht="13.5" customHeight="1">
      <c r="D83" s="1">
        <v>18</v>
      </c>
      <c r="AB83" s="896"/>
      <c r="AC83" s="896"/>
      <c r="AD83" s="896"/>
      <c r="AE83" s="896"/>
      <c r="AF83" s="896"/>
      <c r="AG83" s="896"/>
      <c r="AH83" s="896"/>
      <c r="AI83" s="896"/>
      <c r="AJ83" s="896"/>
      <c r="AK83" s="896"/>
      <c r="AL83" s="896"/>
      <c r="AM83" s="896"/>
      <c r="AN83" s="896"/>
      <c r="AO83" s="896"/>
      <c r="AP83" s="896"/>
      <c r="AQ83" s="896"/>
      <c r="AR83" s="896"/>
      <c r="AS83" s="896"/>
      <c r="AT83" s="896"/>
    </row>
    <row r="84" spans="4:46" ht="13.5" customHeight="1">
      <c r="D84" s="1">
        <v>18</v>
      </c>
      <c r="AB84" s="940" t="s">
        <v>1337</v>
      </c>
      <c r="AC84" s="781"/>
      <c r="AD84" s="781"/>
      <c r="AE84" s="781"/>
      <c r="AF84" s="781"/>
      <c r="AG84" s="781"/>
      <c r="AH84" s="781"/>
      <c r="AI84" s="781"/>
      <c r="AJ84" s="781"/>
      <c r="AK84" s="781"/>
      <c r="AL84" s="781"/>
      <c r="AM84" s="781"/>
      <c r="AN84" s="781"/>
      <c r="AO84" s="781"/>
      <c r="AP84" s="781"/>
      <c r="AQ84" s="781"/>
    </row>
    <row r="85" spans="4:46" ht="31.5" customHeight="1">
      <c r="D85" s="1">
        <v>42</v>
      </c>
      <c r="AB85" s="896" t="s">
        <v>1338</v>
      </c>
      <c r="AC85" s="896"/>
      <c r="AD85" s="896"/>
      <c r="AE85" s="896"/>
      <c r="AF85" s="896"/>
      <c r="AG85" s="896"/>
      <c r="AH85" s="896"/>
      <c r="AI85" s="896"/>
      <c r="AJ85" s="896"/>
      <c r="AK85" s="896"/>
      <c r="AL85" s="896"/>
      <c r="AM85" s="896"/>
      <c r="AN85" s="896"/>
      <c r="AO85" s="896"/>
      <c r="AP85" s="896"/>
      <c r="AQ85" s="896"/>
      <c r="AR85" s="896"/>
      <c r="AS85" s="896"/>
      <c r="AT85" s="896"/>
    </row>
    <row r="86" spans="4:46" ht="13.5" customHeight="1">
      <c r="D86" s="1">
        <v>18</v>
      </c>
      <c r="AB86" s="896" t="str">
        <f>"Письменное заявление, представленное "&amp;Титульный!AC27&amp;" об определении необходимой валовой выручки соответствует требованиям Регламента."</f>
        <v>Письменное заявление, представленное МУП "Горэлектросети" об определении необходимой валовой выручки соответствует требованиям Регламента.</v>
      </c>
      <c r="AC86" s="896"/>
      <c r="AD86" s="896"/>
      <c r="AE86" s="896"/>
      <c r="AF86" s="896"/>
      <c r="AG86" s="896"/>
      <c r="AH86" s="896"/>
      <c r="AI86" s="896"/>
      <c r="AJ86" s="896"/>
      <c r="AK86" s="896"/>
      <c r="AL86" s="896"/>
      <c r="AM86" s="896"/>
      <c r="AN86" s="896"/>
      <c r="AO86" s="896"/>
      <c r="AP86" s="896"/>
      <c r="AQ86" s="896"/>
      <c r="AR86" s="896"/>
      <c r="AS86" s="896"/>
      <c r="AT86" s="896"/>
    </row>
    <row r="87" spans="4:46" ht="13.5" customHeight="1">
      <c r="D87" s="1">
        <v>18</v>
      </c>
      <c r="AB87" s="896" t="str">
        <f>"Предложение о размере цен (тарифов) и долгосрочных параметрах регулирования по  "&amp;Титульный!AC27&amp;" размещены на официальном сайте в порядке, установленном стандартами"</f>
        <v>Предложение о размере цен (тарифов) и долгосрочных параметрах регулирования по  МУП "Горэлектросети" размещены на официальном сайте в порядке, установленном стандартами</v>
      </c>
      <c r="AC87" s="896"/>
      <c r="AD87" s="896"/>
      <c r="AE87" s="896"/>
      <c r="AF87" s="896"/>
      <c r="AG87" s="896"/>
      <c r="AH87" s="896"/>
      <c r="AI87" s="896"/>
      <c r="AJ87" s="896"/>
      <c r="AK87" s="896"/>
      <c r="AL87" s="896"/>
      <c r="AM87" s="896"/>
      <c r="AN87" s="896"/>
      <c r="AO87" s="896"/>
      <c r="AP87" s="896"/>
      <c r="AQ87" s="896"/>
      <c r="AR87" s="896"/>
      <c r="AS87" s="896"/>
      <c r="AT87" s="896"/>
    </row>
    <row r="88" spans="4:46" ht="30" customHeight="1">
      <c r="D88" s="1">
        <v>40</v>
      </c>
      <c r="AB88" s="896" t="s">
        <v>1339</v>
      </c>
      <c r="AC88" s="896"/>
      <c r="AD88" s="896"/>
      <c r="AE88" s="896"/>
      <c r="AF88" s="896"/>
      <c r="AG88" s="896"/>
      <c r="AH88" s="896"/>
      <c r="AI88" s="896"/>
      <c r="AJ88" s="896"/>
      <c r="AK88" s="896"/>
      <c r="AL88" s="896"/>
      <c r="AM88" s="896"/>
      <c r="AN88" s="896"/>
      <c r="AO88" s="896"/>
      <c r="AP88" s="896"/>
      <c r="AQ88" s="896"/>
      <c r="AR88" s="896"/>
      <c r="AS88" s="896"/>
      <c r="AT88" s="896"/>
    </row>
    <row r="89" spans="4:46" ht="13.5" customHeight="1">
      <c r="D89" s="1">
        <v>18</v>
      </c>
      <c r="AB89" s="290" t="s">
        <v>1340</v>
      </c>
      <c r="AC89" s="949" t="str">
        <f>Титульный!AC64</f>
        <v>http://www.g-ages.ru</v>
      </c>
      <c r="AD89" s="948"/>
      <c r="AE89" s="290" t="s">
        <v>1304</v>
      </c>
      <c r="AF89" s="947"/>
      <c r="AG89" s="948"/>
    </row>
    <row r="90" spans="4:46" ht="13.5" customHeight="1">
      <c r="D90" s="1">
        <v>18</v>
      </c>
    </row>
    <row r="91" spans="4:46" ht="59.25" customHeight="1">
      <c r="D91" s="1">
        <v>79</v>
      </c>
      <c r="AB91" s="896" t="s">
        <v>1341</v>
      </c>
      <c r="AC91" s="896"/>
      <c r="AD91" s="896"/>
      <c r="AE91" s="896"/>
      <c r="AF91" s="896"/>
      <c r="AG91" s="896"/>
      <c r="AH91" s="896"/>
      <c r="AI91" s="896"/>
      <c r="AJ91" s="896"/>
      <c r="AK91" s="896"/>
      <c r="AL91" s="896"/>
      <c r="AM91" s="896"/>
      <c r="AN91" s="896"/>
      <c r="AO91" s="896"/>
      <c r="AP91" s="896"/>
      <c r="AQ91" s="896"/>
      <c r="AR91" s="896"/>
      <c r="AS91" s="896"/>
      <c r="AT91" s="896"/>
    </row>
    <row r="92" spans="4:46" ht="13.5" customHeight="1">
      <c r="D92" s="1">
        <v>18</v>
      </c>
      <c r="AB92" s="896" t="str">
        <f>"Ответственность за достоверность представленных документов несёт  "&amp;Титульный!AC27</f>
        <v>Ответственность за достоверность представленных документов несёт  МУП "Горэлектросети"</v>
      </c>
      <c r="AC92" s="896"/>
      <c r="AD92" s="896"/>
      <c r="AE92" s="896"/>
      <c r="AF92" s="896"/>
      <c r="AG92" s="896"/>
      <c r="AH92" s="896"/>
      <c r="AI92" s="896"/>
      <c r="AJ92" s="896"/>
      <c r="AK92" s="896"/>
      <c r="AL92" s="896"/>
      <c r="AM92" s="896"/>
      <c r="AN92" s="896"/>
      <c r="AO92" s="896"/>
      <c r="AP92" s="896"/>
      <c r="AQ92" s="896"/>
      <c r="AR92" s="896"/>
      <c r="AS92" s="896"/>
      <c r="AT92" s="896"/>
    </row>
    <row r="93" spans="4:46" ht="33" customHeight="1">
      <c r="D93" s="1">
        <v>44</v>
      </c>
      <c r="AB93" s="896" t="str">
        <f>"Проделанная в процессе экспертизы работа не означает проведения полной и всеобъемлющей проверки финансово-хозяйственной деятельности "&amp;Титульный!AC27&amp;" и правильности формирования финансовых результатов за анализируемый период с целью выявления всех возможных нарушений норм действующего законодательства."</f>
        <v>Проделанная в процессе экспертизы работа не означает проведения полной и всеобъемлющей проверки финансово-хозяйственной деятельности МУП "Горэлектросети" и правильности формирования финансовых результатов за анализируемый период с целью выявления всех возможных нарушений норм действующего законодательства.</v>
      </c>
      <c r="AC93" s="896"/>
      <c r="AD93" s="896"/>
      <c r="AE93" s="896"/>
      <c r="AF93" s="896"/>
      <c r="AG93" s="896"/>
      <c r="AH93" s="896"/>
      <c r="AI93" s="896"/>
      <c r="AJ93" s="896"/>
      <c r="AK93" s="896"/>
      <c r="AL93" s="896"/>
      <c r="AM93" s="896"/>
      <c r="AN93" s="896"/>
      <c r="AO93" s="896"/>
      <c r="AP93" s="896"/>
      <c r="AQ93" s="896"/>
      <c r="AR93" s="896"/>
      <c r="AS93" s="896"/>
      <c r="AT93" s="896"/>
    </row>
    <row r="94" spans="4:46" ht="13.5" customHeight="1">
      <c r="D94" s="1">
        <v>18</v>
      </c>
      <c r="AB94" s="896" t="s">
        <v>1342</v>
      </c>
      <c r="AC94" s="896"/>
      <c r="AD94" s="896"/>
      <c r="AE94" s="896"/>
      <c r="AF94" s="896"/>
      <c r="AG94" s="896"/>
      <c r="AH94" s="896"/>
      <c r="AI94" s="896"/>
      <c r="AJ94" s="896"/>
      <c r="AK94" s="896"/>
      <c r="AL94" s="896"/>
      <c r="AM94" s="896"/>
      <c r="AN94" s="896"/>
      <c r="AO94" s="896"/>
      <c r="AP94" s="896"/>
      <c r="AQ94" s="896"/>
      <c r="AR94" s="896"/>
      <c r="AS94" s="896"/>
      <c r="AT94" s="896"/>
    </row>
    <row r="95" spans="4:46" ht="13.5" customHeight="1">
      <c r="D95" s="1">
        <v>18</v>
      </c>
      <c r="AB95" s="289"/>
      <c r="AC95" s="289"/>
      <c r="AD95" s="289"/>
      <c r="AE95" s="289"/>
      <c r="AF95" s="289"/>
      <c r="AG95" s="289"/>
      <c r="AH95" s="289"/>
      <c r="AI95" s="289"/>
      <c r="AJ95" s="289"/>
      <c r="AK95" s="289"/>
      <c r="AL95" s="289"/>
      <c r="AM95" s="289"/>
      <c r="AN95" s="289"/>
      <c r="AO95" s="289"/>
      <c r="AP95" s="289"/>
      <c r="AQ95" s="289"/>
      <c r="AR95" s="289"/>
      <c r="AS95" s="289"/>
      <c r="AT95" s="289"/>
    </row>
    <row r="96" spans="4:46" ht="13.5" customHeight="1">
      <c r="D96" s="1">
        <v>18</v>
      </c>
      <c r="AB96" s="940" t="s">
        <v>1343</v>
      </c>
      <c r="AC96" s="781"/>
      <c r="AD96" s="781"/>
      <c r="AE96" s="781"/>
      <c r="AF96" s="781"/>
      <c r="AG96" s="781"/>
      <c r="AH96" s="781"/>
      <c r="AI96" s="781"/>
      <c r="AJ96" s="781"/>
      <c r="AK96" s="781"/>
      <c r="AL96" s="781"/>
      <c r="AM96" s="781"/>
      <c r="AN96" s="781"/>
      <c r="AO96" s="781"/>
      <c r="AP96" s="781"/>
      <c r="AQ96" s="781"/>
    </row>
    <row r="97" spans="4:46" ht="13.5" customHeight="1">
      <c r="D97" s="1">
        <v>18</v>
      </c>
      <c r="AB97" s="896" t="s">
        <v>1344</v>
      </c>
      <c r="AC97" s="896"/>
      <c r="AD97" s="896"/>
      <c r="AE97" s="896"/>
      <c r="AF97" s="896"/>
      <c r="AG97" s="896"/>
      <c r="AH97" s="896"/>
      <c r="AI97" s="896"/>
      <c r="AJ97" s="896"/>
      <c r="AK97" s="896"/>
      <c r="AL97" s="896"/>
      <c r="AM97" s="896"/>
      <c r="AN97" s="896"/>
      <c r="AO97" s="896"/>
      <c r="AP97" s="896"/>
      <c r="AQ97" s="896"/>
      <c r="AR97" s="896"/>
      <c r="AS97" s="896"/>
      <c r="AT97" s="896"/>
    </row>
    <row r="98" spans="4:46" ht="27.75" customHeight="1">
      <c r="D98" s="1">
        <v>37</v>
      </c>
      <c r="AB98" s="896" t="str">
        <f>"1. расчёт долгосрочных тарифов на услуги по передаче электроэнергии и долгосрочной необходимой валовой выручки на "&amp;Титульный!AC47&amp;"  годы в формате шаблона ЕИАС, выполненные "&amp;Титульный!AC27&amp;" в соответствии с приказом ФСТ России от 17.02.2012 № 98-э; "</f>
        <v xml:space="preserve">1. расчёт долгосрочных тарифов на услуги по передаче электроэнергии и долгосрочной необходимой валовой выручки на 2026-2030  годы в формате шаблона ЕИАС, выполненные МУП "Горэлектросети" в соответствии с приказом ФСТ России от 17.02.2012 № 98-э; </v>
      </c>
      <c r="AC98" s="896"/>
      <c r="AD98" s="896"/>
      <c r="AE98" s="896"/>
      <c r="AF98" s="896"/>
      <c r="AG98" s="896"/>
      <c r="AH98" s="896"/>
      <c r="AI98" s="896"/>
      <c r="AJ98" s="896"/>
      <c r="AK98" s="896"/>
      <c r="AL98" s="896"/>
      <c r="AM98" s="896"/>
      <c r="AN98" s="896"/>
      <c r="AO98" s="896"/>
      <c r="AP98" s="896"/>
      <c r="AQ98" s="896"/>
      <c r="AR98" s="896"/>
      <c r="AS98" s="896"/>
      <c r="AT98" s="896"/>
    </row>
    <row r="99" spans="4:46" ht="13.5" customHeight="1">
      <c r="D99" s="1">
        <v>18</v>
      </c>
      <c r="AB99" s="896" t="str">
        <f>"2. обосновывающие материалы, подтверждающие фактически произведённые расходы за  "&amp;Титульный!AC34-2&amp;" год (с приложением подтверждающих документов);"</f>
        <v>2. обосновывающие материалы, подтверждающие фактически произведённые расходы за  2024 год (с приложением подтверждающих документов);</v>
      </c>
      <c r="AC99" s="896"/>
      <c r="AD99" s="896"/>
      <c r="AE99" s="896"/>
      <c r="AF99" s="896"/>
      <c r="AG99" s="896"/>
      <c r="AH99" s="896"/>
      <c r="AI99" s="896"/>
      <c r="AJ99" s="896"/>
      <c r="AK99" s="896"/>
      <c r="AL99" s="896"/>
      <c r="AM99" s="896"/>
      <c r="AN99" s="896"/>
      <c r="AO99" s="896"/>
      <c r="AP99" s="896"/>
      <c r="AQ99" s="896"/>
      <c r="AR99" s="896"/>
      <c r="AS99" s="896"/>
      <c r="AT99" s="896"/>
    </row>
    <row r="100" spans="4:46" ht="13.5" customHeight="1">
      <c r="D100" s="1">
        <v>18</v>
      </c>
      <c r="AB100" s="896" t="s">
        <v>1345</v>
      </c>
      <c r="AC100" s="896"/>
      <c r="AD100" s="896"/>
      <c r="AE100" s="896"/>
      <c r="AF100" s="896"/>
      <c r="AG100" s="896"/>
      <c r="AH100" s="896"/>
      <c r="AI100" s="896"/>
      <c r="AJ100" s="896"/>
      <c r="AK100" s="896"/>
      <c r="AL100" s="896"/>
      <c r="AM100" s="896"/>
      <c r="AN100" s="896"/>
      <c r="AO100" s="896"/>
      <c r="AP100" s="896"/>
      <c r="AQ100" s="896"/>
      <c r="AR100" s="896"/>
      <c r="AS100" s="896"/>
      <c r="AT100" s="896"/>
    </row>
    <row r="101" spans="4:46" ht="13.5" customHeight="1">
      <c r="D101" s="1">
        <v>18</v>
      </c>
      <c r="AB101" s="896" t="str">
        <f>"4. Бухгалтерский баланс и статистическая отчетность по регулируемым видам деятельности за "&amp;Титульный!AC34-2&amp;" год (со всеми приложениями)"</f>
        <v>4. Бухгалтерский баланс и статистическая отчетность по регулируемым видам деятельности за 2024 год (со всеми приложениями)</v>
      </c>
      <c r="AC101" s="896"/>
      <c r="AD101" s="896"/>
      <c r="AE101" s="896"/>
      <c r="AF101" s="896"/>
      <c r="AG101" s="896"/>
      <c r="AH101" s="896"/>
      <c r="AI101" s="896"/>
      <c r="AJ101" s="896"/>
      <c r="AK101" s="896"/>
      <c r="AL101" s="896"/>
      <c r="AM101" s="896"/>
      <c r="AN101" s="896"/>
      <c r="AO101" s="896"/>
      <c r="AP101" s="896"/>
      <c r="AQ101" s="896"/>
      <c r="AR101" s="896"/>
      <c r="AS101" s="896"/>
      <c r="AT101" s="896"/>
    </row>
    <row r="102" spans="4:46" ht="13.5" customHeight="1">
      <c r="D102" s="1">
        <v>18</v>
      </c>
      <c r="AB102" s="950" t="s">
        <v>1346</v>
      </c>
      <c r="AC102" s="950"/>
      <c r="AD102" s="950"/>
      <c r="AE102" s="950"/>
      <c r="AF102" s="950"/>
      <c r="AG102" s="950"/>
      <c r="AH102" s="950"/>
      <c r="AI102" s="950"/>
      <c r="AJ102" s="950"/>
      <c r="AK102" s="950"/>
      <c r="AL102" s="950"/>
      <c r="AM102" s="950"/>
      <c r="AN102" s="950"/>
      <c r="AO102" s="950"/>
      <c r="AP102" s="950"/>
      <c r="AQ102" s="950"/>
      <c r="AR102" s="950"/>
      <c r="AS102" s="950"/>
      <c r="AT102" s="950"/>
    </row>
    <row r="103" spans="4:46" ht="13.5" customHeight="1">
      <c r="D103" s="1">
        <v>18</v>
      </c>
      <c r="AB103" s="896" t="s">
        <v>1347</v>
      </c>
      <c r="AC103" s="896"/>
      <c r="AD103" s="896"/>
      <c r="AE103" s="896"/>
      <c r="AF103" s="896"/>
      <c r="AG103" s="896"/>
      <c r="AH103" s="896"/>
      <c r="AI103" s="896"/>
      <c r="AJ103" s="896"/>
      <c r="AK103" s="896"/>
      <c r="AL103" s="896"/>
      <c r="AM103" s="896"/>
      <c r="AN103" s="896"/>
      <c r="AO103" s="896"/>
      <c r="AP103" s="896"/>
      <c r="AQ103" s="896"/>
      <c r="AR103" s="896"/>
      <c r="AS103" s="896"/>
      <c r="AT103" s="896"/>
    </row>
    <row r="104" spans="4:46" ht="13.5" customHeight="1">
      <c r="D104" s="1">
        <v>18</v>
      </c>
      <c r="AB104" s="896" t="s">
        <v>1348</v>
      </c>
      <c r="AC104" s="896"/>
      <c r="AD104" s="896"/>
      <c r="AE104" s="896"/>
      <c r="AF104" s="896"/>
      <c r="AG104" s="896"/>
      <c r="AH104" s="896"/>
      <c r="AI104" s="896"/>
      <c r="AJ104" s="896"/>
      <c r="AK104" s="896"/>
      <c r="AL104" s="896"/>
      <c r="AM104" s="896"/>
      <c r="AN104" s="896"/>
      <c r="AO104" s="896"/>
      <c r="AP104" s="896"/>
      <c r="AQ104" s="896"/>
      <c r="AR104" s="896"/>
      <c r="AS104" s="896"/>
      <c r="AT104" s="896"/>
    </row>
    <row r="105" spans="4:46" ht="57" customHeight="1">
      <c r="D105" s="1">
        <v>76</v>
      </c>
      <c r="AB105" s="896" t="s">
        <v>1349</v>
      </c>
      <c r="AC105" s="896"/>
      <c r="AD105" s="896"/>
      <c r="AE105" s="896"/>
      <c r="AF105" s="896"/>
      <c r="AG105" s="896"/>
      <c r="AH105" s="896"/>
      <c r="AI105" s="896"/>
      <c r="AJ105" s="896"/>
      <c r="AK105" s="896"/>
      <c r="AL105" s="896"/>
      <c r="AM105" s="896"/>
      <c r="AN105" s="896"/>
      <c r="AO105" s="896"/>
      <c r="AP105" s="896"/>
      <c r="AQ105" s="896"/>
      <c r="AR105" s="896"/>
      <c r="AS105" s="896"/>
      <c r="AT105" s="896"/>
    </row>
    <row r="106" spans="4:46" ht="13.5" customHeight="1">
      <c r="D106" s="1">
        <v>18</v>
      </c>
      <c r="AB106" s="896" t="s">
        <v>1350</v>
      </c>
      <c r="AC106" s="896"/>
      <c r="AD106" s="896"/>
      <c r="AE106" s="896"/>
      <c r="AF106" s="896"/>
      <c r="AG106" s="896"/>
      <c r="AH106" s="896"/>
      <c r="AI106" s="896"/>
      <c r="AJ106" s="896"/>
      <c r="AK106" s="896"/>
      <c r="AL106" s="896"/>
      <c r="AM106" s="896"/>
      <c r="AN106" s="896"/>
      <c r="AO106" s="896"/>
      <c r="AP106" s="896"/>
      <c r="AQ106" s="896"/>
      <c r="AR106" s="896"/>
      <c r="AS106" s="896"/>
      <c r="AT106" s="896"/>
    </row>
    <row r="107" spans="4:46" ht="27.75" customHeight="1">
      <c r="D107" s="1">
        <v>37</v>
      </c>
      <c r="AB107" s="896" t="str">
        <f>"10. Баланс электроэнергии и мощности по форме № П1.4. и П1.5. Методических указаний, выполненный в соответствии с разъяснениями ФСТ России от 18.02.2005 № СН-570/14, согласованный с "&amp;Титульный!AC53</f>
        <v>10. Баланс электроэнергии и мощности по форме № П1.4. и П1.5. Методических указаний, выполненный в соответствии с разъяснениями ФСТ России от 18.02.2005 № СН-570/14, согласованный с Филиал ПАО "Россети Сибирь"</v>
      </c>
      <c r="AC107" s="896"/>
      <c r="AD107" s="896"/>
      <c r="AE107" s="896"/>
      <c r="AF107" s="896"/>
      <c r="AG107" s="896"/>
      <c r="AH107" s="896"/>
      <c r="AI107" s="896"/>
      <c r="AJ107" s="896"/>
      <c r="AK107" s="896"/>
      <c r="AL107" s="896"/>
      <c r="AM107" s="896"/>
      <c r="AN107" s="896"/>
      <c r="AO107" s="896"/>
      <c r="AP107" s="896"/>
      <c r="AQ107" s="896"/>
      <c r="AR107" s="896"/>
      <c r="AS107" s="896"/>
      <c r="AT107" s="896"/>
    </row>
    <row r="108" spans="4:46" ht="13.5" customHeight="1">
      <c r="D108" s="1">
        <v>18</v>
      </c>
      <c r="AB108" s="896" t="s">
        <v>1351</v>
      </c>
      <c r="AC108" s="896"/>
      <c r="AD108" s="896"/>
      <c r="AE108" s="896"/>
      <c r="AF108" s="896"/>
      <c r="AG108" s="896"/>
      <c r="AH108" s="896"/>
      <c r="AI108" s="896"/>
      <c r="AJ108" s="896"/>
      <c r="AK108" s="896"/>
      <c r="AL108" s="896"/>
      <c r="AM108" s="896"/>
      <c r="AN108" s="896"/>
      <c r="AO108" s="896"/>
      <c r="AP108" s="896"/>
      <c r="AQ108" s="896"/>
      <c r="AR108" s="896"/>
      <c r="AS108" s="896"/>
      <c r="AT108" s="896"/>
    </row>
    <row r="109" spans="4:46" ht="13.5" customHeight="1">
      <c r="D109" s="1">
        <v>18</v>
      </c>
      <c r="AB109" s="781"/>
      <c r="AC109" s="781"/>
      <c r="AD109" s="781"/>
      <c r="AE109" s="781"/>
      <c r="AF109" s="781"/>
      <c r="AG109" s="781"/>
      <c r="AH109" s="781"/>
      <c r="AI109" s="781"/>
      <c r="AJ109" s="781"/>
      <c r="AK109" s="781"/>
      <c r="AL109" s="781"/>
      <c r="AM109" s="781"/>
      <c r="AN109" s="781"/>
      <c r="AO109" s="781"/>
      <c r="AP109" s="781"/>
      <c r="AQ109" s="781"/>
      <c r="AR109" s="781"/>
      <c r="AS109" s="781"/>
      <c r="AT109" s="781"/>
    </row>
    <row r="110" spans="4:46" ht="49.5" customHeight="1">
      <c r="D110" s="1">
        <v>66</v>
      </c>
      <c r="AB110" s="896"/>
      <c r="AC110" s="896"/>
      <c r="AD110" s="896"/>
      <c r="AE110" s="896"/>
      <c r="AF110" s="896"/>
      <c r="AG110" s="896"/>
      <c r="AH110" s="896"/>
      <c r="AI110" s="896"/>
      <c r="AJ110" s="896"/>
      <c r="AK110" s="896"/>
      <c r="AL110" s="896"/>
      <c r="AM110" s="896"/>
      <c r="AN110" s="896"/>
      <c r="AO110" s="896"/>
      <c r="AP110" s="896"/>
      <c r="AQ110" s="896"/>
      <c r="AR110" s="896"/>
      <c r="AS110" s="896"/>
    </row>
    <row r="111" spans="4:46" ht="13.5" customHeight="1">
      <c r="D111">
        <v>18</v>
      </c>
      <c r="AB111" s="781"/>
      <c r="AC111" s="781"/>
      <c r="AD111" s="781"/>
      <c r="AE111" s="781"/>
      <c r="AF111" s="781"/>
      <c r="AG111" s="781"/>
      <c r="AH111" s="781"/>
      <c r="AI111" s="781"/>
      <c r="AJ111" s="781"/>
      <c r="AK111" s="781"/>
      <c r="AL111" s="781"/>
      <c r="AM111" s="781"/>
      <c r="AN111" s="781"/>
      <c r="AO111" s="781"/>
      <c r="AP111" s="781"/>
      <c r="AQ111" s="781"/>
      <c r="AR111" s="781"/>
      <c r="AS111" s="781"/>
      <c r="AT111" s="781"/>
    </row>
    <row r="112" spans="4:46" ht="11.25" hidden="1" customHeight="1">
      <c r="D112" s="1">
        <v>0</v>
      </c>
      <c r="AB112" s="781"/>
      <c r="AC112" s="781"/>
      <c r="AD112" s="781"/>
      <c r="AE112" s="781"/>
      <c r="AF112" s="781"/>
      <c r="AG112" s="781"/>
      <c r="AH112" s="781"/>
      <c r="AI112" s="781"/>
      <c r="AJ112" s="781"/>
      <c r="AK112" s="781"/>
      <c r="AL112" s="781"/>
      <c r="AM112" s="781"/>
      <c r="AN112" s="781"/>
      <c r="AO112" s="781"/>
      <c r="AP112" s="781"/>
      <c r="AQ112" s="781"/>
      <c r="AR112" s="781"/>
      <c r="AS112" s="781"/>
      <c r="AT112" s="781"/>
    </row>
    <row r="113" spans="4:46" ht="11.25" hidden="1" customHeight="1">
      <c r="D113" s="1">
        <v>0</v>
      </c>
      <c r="AB113" s="781"/>
      <c r="AC113" s="781"/>
      <c r="AD113" s="781"/>
      <c r="AE113" s="781"/>
      <c r="AF113" s="781"/>
      <c r="AG113" s="781"/>
      <c r="AH113" s="781"/>
      <c r="AI113" s="781"/>
      <c r="AJ113" s="781"/>
      <c r="AK113" s="781"/>
      <c r="AL113" s="781"/>
      <c r="AM113" s="781"/>
      <c r="AN113" s="781"/>
      <c r="AO113" s="781"/>
      <c r="AP113" s="781"/>
      <c r="AQ113" s="781"/>
      <c r="AR113" s="781"/>
      <c r="AS113" s="781"/>
      <c r="AT113" s="781"/>
    </row>
    <row r="114" spans="4:46" ht="11.25" hidden="1" customHeight="1">
      <c r="D114" s="1">
        <v>0</v>
      </c>
      <c r="AB114" s="781"/>
      <c r="AC114" s="781"/>
      <c r="AD114" s="781"/>
      <c r="AE114" s="781"/>
      <c r="AF114" s="781"/>
      <c r="AG114" s="781"/>
      <c r="AH114" s="781"/>
      <c r="AI114" s="781"/>
      <c r="AJ114" s="781"/>
      <c r="AK114" s="781"/>
      <c r="AL114" s="781"/>
      <c r="AM114" s="781"/>
      <c r="AN114" s="781"/>
      <c r="AO114" s="781"/>
      <c r="AP114" s="781"/>
      <c r="AQ114" s="781"/>
      <c r="AR114" s="781"/>
      <c r="AS114" s="781"/>
      <c r="AT114" s="781"/>
    </row>
    <row r="115" spans="4:46" ht="13.5" customHeight="1">
      <c r="D115">
        <v>18</v>
      </c>
    </row>
    <row r="116" spans="4:46" ht="13.5" customHeight="1">
      <c r="D116" s="1">
        <v>18</v>
      </c>
      <c r="AB116" s="940" t="s">
        <v>1352</v>
      </c>
      <c r="AC116" s="781"/>
      <c r="AD116" s="781"/>
      <c r="AE116" s="781"/>
      <c r="AF116" s="781"/>
      <c r="AG116" s="781"/>
      <c r="AH116" s="781"/>
      <c r="AI116" s="781"/>
      <c r="AJ116" s="781"/>
      <c r="AK116" s="781"/>
      <c r="AL116" s="781"/>
      <c r="AM116" s="781"/>
      <c r="AN116" s="781"/>
      <c r="AO116" s="781"/>
      <c r="AP116" s="781"/>
      <c r="AQ116" s="781"/>
    </row>
    <row r="117" spans="4:46" ht="13.5" customHeight="1">
      <c r="D117" s="1">
        <v>18</v>
      </c>
    </row>
    <row r="118" spans="4:46" ht="13.5" customHeight="1">
      <c r="D118" s="1">
        <v>18</v>
      </c>
      <c r="AB118" s="940" t="s">
        <v>1353</v>
      </c>
      <c r="AC118" s="781"/>
      <c r="AD118" s="781"/>
      <c r="AE118" s="781"/>
      <c r="AF118" s="781"/>
      <c r="AG118" s="781"/>
      <c r="AH118" s="781"/>
      <c r="AI118" s="781"/>
      <c r="AJ118" s="781"/>
      <c r="AK118" s="781"/>
      <c r="AL118" s="781"/>
      <c r="AM118" s="781"/>
      <c r="AN118" s="781"/>
      <c r="AO118" s="781"/>
      <c r="AP118" s="781"/>
      <c r="AQ118" s="781"/>
    </row>
    <row r="119" spans="4:46" ht="13.5" customHeight="1">
      <c r="D119" s="1">
        <v>18</v>
      </c>
      <c r="AB119" s="936" t="s">
        <v>1297</v>
      </c>
      <c r="AC119" s="781"/>
      <c r="AD119" s="781"/>
      <c r="AE119" s="781"/>
      <c r="AF119" s="781"/>
      <c r="AG119" s="896" t="str">
        <f>'Форма раскрытия информации'!AD31</f>
        <v>МУП "Горэлектросети"</v>
      </c>
      <c r="AH119" s="896"/>
      <c r="AI119" s="896"/>
      <c r="AJ119" s="896"/>
      <c r="AK119" s="896"/>
      <c r="AL119" s="896"/>
      <c r="AM119" s="896"/>
      <c r="AN119" s="896"/>
      <c r="AO119" s="896"/>
      <c r="AP119" s="896"/>
      <c r="AQ119" s="896"/>
    </row>
    <row r="120" spans="4:46" ht="13.5" customHeight="1">
      <c r="D120" s="1">
        <v>18</v>
      </c>
      <c r="AB120" s="936" t="s">
        <v>1298</v>
      </c>
      <c r="AC120" s="781"/>
      <c r="AD120" s="781"/>
      <c r="AE120" s="781"/>
      <c r="AF120" s="781"/>
      <c r="AG120" s="936" t="str">
        <f>Титульный!AC31&amp;" / "&amp;Титульный!AC32</f>
        <v>0400000157 / 041101001</v>
      </c>
      <c r="AH120" s="781"/>
      <c r="AI120" s="781"/>
      <c r="AJ120" s="781"/>
      <c r="AK120" s="781"/>
      <c r="AL120" s="781"/>
      <c r="AM120" s="781"/>
      <c r="AN120" s="781"/>
      <c r="AO120" s="781"/>
      <c r="AP120" s="781"/>
      <c r="AQ120" s="781"/>
    </row>
    <row r="121" spans="4:46" ht="13.5" customHeight="1">
      <c r="D121" s="1">
        <v>18</v>
      </c>
      <c r="AB121" s="936" t="s">
        <v>1354</v>
      </c>
      <c r="AC121" s="781"/>
      <c r="AD121" s="781"/>
      <c r="AE121" s="781"/>
      <c r="AF121" s="781"/>
      <c r="AG121" s="894"/>
      <c r="AH121" s="896"/>
      <c r="AI121" s="896"/>
      <c r="AJ121" s="896"/>
      <c r="AK121" s="896"/>
      <c r="AL121" s="896"/>
      <c r="AM121" s="896"/>
      <c r="AN121" s="896"/>
      <c r="AO121" s="896"/>
      <c r="AP121" s="896"/>
      <c r="AQ121" s="896"/>
    </row>
    <row r="122" spans="4:46" ht="13.5" customHeight="1">
      <c r="D122" s="1">
        <v>18</v>
      </c>
      <c r="AB122" s="936" t="s">
        <v>1355</v>
      </c>
      <c r="AC122" s="781"/>
      <c r="AD122" s="781"/>
      <c r="AE122" s="781"/>
      <c r="AF122" s="781"/>
      <c r="AG122" s="894"/>
      <c r="AH122" s="896"/>
      <c r="AI122" s="896"/>
      <c r="AJ122" s="896"/>
      <c r="AK122" s="896"/>
      <c r="AL122" s="896"/>
      <c r="AM122" s="896"/>
      <c r="AN122" s="896"/>
      <c r="AO122" s="896"/>
      <c r="AP122" s="896"/>
      <c r="AQ122" s="896"/>
    </row>
    <row r="123" spans="4:46" ht="13.5" customHeight="1">
      <c r="D123" s="1">
        <v>18</v>
      </c>
      <c r="AB123" s="936" t="s">
        <v>385</v>
      </c>
      <c r="AC123" s="781"/>
      <c r="AD123" s="781"/>
      <c r="AE123" s="781"/>
      <c r="AF123" s="781"/>
      <c r="AG123" s="896" t="str">
        <f>'Форма раскрытия информации'!AD34</f>
        <v>649002, г. Горно-Алтайск ул. Связистов 1</v>
      </c>
      <c r="AH123" s="896"/>
      <c r="AI123" s="896"/>
      <c r="AJ123" s="896"/>
      <c r="AK123" s="896"/>
      <c r="AL123" s="896"/>
      <c r="AM123" s="896"/>
      <c r="AN123" s="896"/>
      <c r="AO123" s="896"/>
      <c r="AP123" s="896"/>
      <c r="AQ123" s="896"/>
    </row>
    <row r="124" spans="4:46" ht="13.5" customHeight="1">
      <c r="D124" s="1">
        <v>18</v>
      </c>
      <c r="AB124" s="291" t="s">
        <v>1356</v>
      </c>
      <c r="AG124" s="896" t="str">
        <f>IF(Титульный!AC50="Передача ЭЭ","оказание услуг по передаче электрической энергии",Титульный!AC50)</f>
        <v>оказание услуг по передаче электрической энергии</v>
      </c>
      <c r="AH124" s="896"/>
      <c r="AI124" s="896"/>
      <c r="AJ124" s="896"/>
      <c r="AK124" s="896"/>
      <c r="AL124" s="896"/>
      <c r="AM124" s="896"/>
      <c r="AN124" s="896"/>
      <c r="AO124" s="896"/>
      <c r="AP124" s="896"/>
      <c r="AQ124" s="896"/>
    </row>
    <row r="125" spans="4:46" ht="13.5" customHeight="1">
      <c r="D125" s="1">
        <v>18</v>
      </c>
      <c r="AB125" s="291" t="s">
        <v>1357</v>
      </c>
      <c r="AG125" s="896"/>
      <c r="AH125" s="896"/>
      <c r="AI125" s="896"/>
      <c r="AJ125" s="896"/>
      <c r="AK125" s="896"/>
      <c r="AL125" s="896"/>
      <c r="AM125" s="896"/>
      <c r="AN125" s="896"/>
      <c r="AO125" s="896"/>
      <c r="AP125" s="896"/>
      <c r="AQ125" s="896"/>
    </row>
    <row r="126" spans="4:46" ht="13.5" customHeight="1">
      <c r="D126" s="1">
        <v>18</v>
      </c>
      <c r="AB126" s="291" t="s">
        <v>1358</v>
      </c>
      <c r="AG126" s="896"/>
      <c r="AH126" s="896"/>
      <c r="AI126" s="896"/>
      <c r="AJ126" s="896"/>
      <c r="AK126" s="896"/>
      <c r="AL126" s="896"/>
      <c r="AM126" s="896"/>
      <c r="AN126" s="896"/>
      <c r="AO126" s="896"/>
      <c r="AP126" s="896"/>
      <c r="AQ126" s="896"/>
    </row>
    <row r="127" spans="4:46" ht="13.5" customHeight="1">
      <c r="D127" s="1">
        <v>18</v>
      </c>
      <c r="AB127" s="291" t="s">
        <v>1359</v>
      </c>
      <c r="AG127" s="896"/>
      <c r="AH127" s="896"/>
      <c r="AI127" s="896"/>
      <c r="AJ127" s="896"/>
      <c r="AK127" s="896"/>
      <c r="AL127" s="896"/>
      <c r="AM127" s="896"/>
      <c r="AN127" s="896"/>
      <c r="AO127" s="896"/>
      <c r="AP127" s="896"/>
      <c r="AQ127" s="896"/>
    </row>
    <row r="128" spans="4:46" ht="13.5" customHeight="1">
      <c r="D128" s="1">
        <v>18</v>
      </c>
    </row>
    <row r="129" spans="4:46" ht="13.5" customHeight="1">
      <c r="D129" s="1">
        <v>18</v>
      </c>
      <c r="AB129" s="892" t="str">
        <f>"На территории "&amp;REGION_NAME&amp;" реализована схема "</f>
        <v xml:space="preserve">На территории Республика Алтай реализована схема </v>
      </c>
      <c r="AC129" s="781"/>
      <c r="AD129" s="781"/>
      <c r="AE129" s="781"/>
      <c r="AF129" s="781"/>
      <c r="AG129" s="894"/>
      <c r="AH129" s="894"/>
      <c r="AI129" s="894"/>
      <c r="AJ129" s="894"/>
      <c r="AK129" s="894"/>
      <c r="AL129" s="894"/>
      <c r="AM129" s="894"/>
      <c r="AN129" s="894"/>
      <c r="AO129" s="894"/>
      <c r="AP129" s="894"/>
      <c r="AQ129" s="894"/>
    </row>
    <row r="130" spans="4:46" ht="13.5" customHeight="1">
      <c r="D130" s="1">
        <v>18</v>
      </c>
      <c r="AB130" s="892" t="str">
        <f>'Форма раскрытия информации'!AD31</f>
        <v>МУП "Горэлектросети"</v>
      </c>
      <c r="AC130" s="781"/>
      <c r="AD130" s="781"/>
      <c r="AE130" s="781"/>
      <c r="AF130" s="781"/>
      <c r="AG130" s="896"/>
      <c r="AH130" s="896"/>
      <c r="AI130" s="896"/>
      <c r="AJ130" s="896"/>
      <c r="AK130" s="896"/>
      <c r="AL130" s="896"/>
      <c r="AM130" s="896"/>
      <c r="AN130" s="896"/>
      <c r="AO130" s="896"/>
      <c r="AP130" s="896"/>
      <c r="AQ130" s="896"/>
    </row>
    <row r="131" spans="4:46" ht="13.5" customHeight="1">
      <c r="D131" s="1">
        <v>18</v>
      </c>
    </row>
    <row r="132" spans="4:46" ht="27.75" customHeight="1">
      <c r="D132" s="1">
        <v>37</v>
      </c>
      <c r="AB132" s="896" t="s">
        <v>1360</v>
      </c>
      <c r="AC132" s="896"/>
      <c r="AD132" s="896"/>
      <c r="AE132" s="896"/>
      <c r="AF132" s="896"/>
      <c r="AG132" s="896"/>
      <c r="AH132" s="896"/>
      <c r="AI132" s="896"/>
      <c r="AJ132" s="896"/>
      <c r="AK132" s="896"/>
      <c r="AL132" s="896"/>
      <c r="AM132" s="896"/>
      <c r="AN132" s="896"/>
      <c r="AO132" s="896"/>
      <c r="AP132" s="896"/>
      <c r="AQ132" s="896"/>
      <c r="AR132" s="896"/>
      <c r="AS132" s="896"/>
      <c r="AT132" s="896"/>
    </row>
    <row r="133" spans="4:46" ht="13.5" customHeight="1">
      <c r="D133" s="1">
        <v>18</v>
      </c>
      <c r="AB133" s="892" t="str">
        <f>Титульный!AC27&amp;" является плательщиком налога:"</f>
        <v>МУП "Горэлектросети" является плательщиком налога:</v>
      </c>
      <c r="AC133" s="781"/>
      <c r="AD133" s="781"/>
      <c r="AE133" s="781"/>
      <c r="AF133" s="781"/>
      <c r="AH133" s="289"/>
      <c r="AI133" s="289"/>
      <c r="AJ133" s="289"/>
      <c r="AK133" s="289"/>
      <c r="AL133" s="289"/>
      <c r="AM133" s="289"/>
      <c r="AN133" s="289"/>
      <c r="AO133" s="289"/>
      <c r="AP133" s="289"/>
      <c r="AQ133" s="289"/>
    </row>
    <row r="134" spans="4:46" ht="29.25" customHeight="1">
      <c r="D134" s="1">
        <v>39</v>
      </c>
      <c r="AB134" s="292" t="s">
        <v>1361</v>
      </c>
      <c r="AG134" s="953"/>
      <c r="AH134" s="953"/>
      <c r="AI134" s="953"/>
      <c r="AJ134" s="953"/>
      <c r="AK134" s="953"/>
      <c r="AL134" s="953"/>
      <c r="AM134" s="953"/>
      <c r="AN134" s="953"/>
      <c r="AO134" s="953"/>
      <c r="AP134" s="953"/>
      <c r="AQ134" s="953"/>
    </row>
    <row r="135" spans="4:46" ht="13.5" customHeight="1">
      <c r="D135" s="1">
        <v>18</v>
      </c>
    </row>
    <row r="136" spans="4:46" ht="39" customHeight="1">
      <c r="D136" s="1">
        <v>52</v>
      </c>
      <c r="AB136" s="892" t="str">
        <f>"Для описания структуры баланса "&amp;Титульный!AC27&amp;" выполнен анализ структуры имущества и источников его формирования по итогам деятельности компании за "&amp;PRD-2&amp;" год."</f>
        <v>Для описания структуры баланса МУП "Горэлектросети" выполнен анализ структуры имущества и источников его формирования по итогам деятельности компании за 2024 год.</v>
      </c>
      <c r="AC136" s="781"/>
      <c r="AD136" s="781"/>
      <c r="AE136" s="781"/>
      <c r="AF136" s="781"/>
      <c r="AG136" s="781"/>
      <c r="AH136" s="781"/>
      <c r="AI136" s="781"/>
      <c r="AJ136" s="781"/>
      <c r="AK136" s="781"/>
      <c r="AL136" s="781"/>
      <c r="AM136" s="781"/>
    </row>
    <row r="137" spans="4:46" ht="13.5" customHeight="1">
      <c r="D137" s="1">
        <v>18</v>
      </c>
    </row>
    <row r="138" spans="4:46" ht="27.75" customHeight="1">
      <c r="D138" s="1">
        <v>37</v>
      </c>
      <c r="AB138" s="293" t="s">
        <v>509</v>
      </c>
      <c r="AC138" s="954" t="s">
        <v>526</v>
      </c>
      <c r="AD138" s="954"/>
      <c r="AE138" s="954"/>
      <c r="AF138" s="954"/>
      <c r="AG138" s="954"/>
      <c r="AH138" s="294" t="s">
        <v>609</v>
      </c>
      <c r="AI138" s="294">
        <f>PRD-4</f>
        <v>2022</v>
      </c>
      <c r="AJ138" s="294">
        <f>PRD-3</f>
        <v>2023</v>
      </c>
      <c r="AK138" s="294">
        <f>PRD-2</f>
        <v>2024</v>
      </c>
      <c r="AL138" s="294" t="s">
        <v>1362</v>
      </c>
      <c r="AM138" s="294" t="s">
        <v>1363</v>
      </c>
    </row>
    <row r="139" spans="4:46" ht="13.5" customHeight="1">
      <c r="D139" s="1">
        <v>18</v>
      </c>
      <c r="AB139" s="295">
        <v>1</v>
      </c>
      <c r="AC139" s="951" t="s">
        <v>1364</v>
      </c>
      <c r="AD139" s="951"/>
      <c r="AE139" s="951"/>
      <c r="AF139" s="951"/>
      <c r="AG139" s="951"/>
      <c r="AH139" s="293"/>
      <c r="AI139" s="296"/>
      <c r="AJ139" s="296"/>
      <c r="AK139" s="296"/>
      <c r="AL139" s="296"/>
      <c r="AM139" s="296"/>
    </row>
    <row r="140" spans="4:46" ht="27.75" customHeight="1">
      <c r="D140" s="1">
        <v>37</v>
      </c>
      <c r="AB140" s="297" t="s">
        <v>618</v>
      </c>
      <c r="AC140" s="952" t="s">
        <v>1365</v>
      </c>
      <c r="AD140" s="952"/>
      <c r="AE140" s="952"/>
      <c r="AF140" s="952"/>
      <c r="AG140" s="952"/>
      <c r="AH140" s="298" t="s">
        <v>1035</v>
      </c>
      <c r="AI140" s="299" t="e">
        <f>#REF!</f>
        <v>#REF!</v>
      </c>
      <c r="AJ140" s="299" t="e">
        <f>#REF!</f>
        <v>#REF!</v>
      </c>
      <c r="AK140" s="299" t="e">
        <f>#REF!</f>
        <v>#REF!</v>
      </c>
      <c r="AL140" s="300" t="e">
        <f t="shared" ref="AL140:AL145" si="0">AK140-AJ140</f>
        <v>#REF!</v>
      </c>
      <c r="AM140" s="300" t="e">
        <f t="shared" ref="AM140:AM145" si="1">IF(AJ140=0,0,AK140/AJ140)</f>
        <v>#REF!</v>
      </c>
    </row>
    <row r="141" spans="4:46" ht="27.75" customHeight="1">
      <c r="D141" s="1">
        <v>37</v>
      </c>
      <c r="AB141" s="297" t="s">
        <v>622</v>
      </c>
      <c r="AC141" s="952" t="s">
        <v>1366</v>
      </c>
      <c r="AD141" s="952"/>
      <c r="AE141" s="952"/>
      <c r="AF141" s="952"/>
      <c r="AG141" s="952"/>
      <c r="AH141" s="298" t="s">
        <v>1035</v>
      </c>
      <c r="AI141" s="299" t="e">
        <f>#REF!</f>
        <v>#REF!</v>
      </c>
      <c r="AJ141" s="299" t="e">
        <f>#REF!</f>
        <v>#REF!</v>
      </c>
      <c r="AK141" s="299" t="e">
        <f>#REF!</f>
        <v>#REF!</v>
      </c>
      <c r="AL141" s="300" t="e">
        <f t="shared" si="0"/>
        <v>#REF!</v>
      </c>
      <c r="AM141" s="300" t="e">
        <f t="shared" si="1"/>
        <v>#REF!</v>
      </c>
    </row>
    <row r="142" spans="4:46" ht="13.5" customHeight="1">
      <c r="D142" s="1">
        <v>18</v>
      </c>
      <c r="AB142" s="295" t="s">
        <v>759</v>
      </c>
      <c r="AC142" s="951" t="s">
        <v>1367</v>
      </c>
      <c r="AD142" s="951"/>
      <c r="AE142" s="951"/>
      <c r="AF142" s="951"/>
      <c r="AG142" s="951"/>
      <c r="AH142" s="293" t="s">
        <v>1035</v>
      </c>
      <c r="AI142" s="299" t="e">
        <f>#REF!</f>
        <v>#REF!</v>
      </c>
      <c r="AJ142" s="299" t="e">
        <f>#REF!</f>
        <v>#REF!</v>
      </c>
      <c r="AK142" s="299" t="e">
        <f>#REF!</f>
        <v>#REF!</v>
      </c>
      <c r="AL142" s="301" t="e">
        <f t="shared" si="0"/>
        <v>#REF!</v>
      </c>
      <c r="AM142" s="301" t="e">
        <f t="shared" si="1"/>
        <v>#REF!</v>
      </c>
    </row>
    <row r="143" spans="4:46" ht="27.75" customHeight="1">
      <c r="D143" s="1">
        <v>37</v>
      </c>
      <c r="AB143" s="297" t="s">
        <v>625</v>
      </c>
      <c r="AC143" s="952" t="s">
        <v>1368</v>
      </c>
      <c r="AD143" s="952"/>
      <c r="AE143" s="952"/>
      <c r="AF143" s="952"/>
      <c r="AG143" s="952"/>
      <c r="AH143" s="298" t="s">
        <v>1035</v>
      </c>
      <c r="AI143" s="299" t="e">
        <f>#REF!</f>
        <v>#REF!</v>
      </c>
      <c r="AJ143" s="299" t="e">
        <f>#REF!</f>
        <v>#REF!</v>
      </c>
      <c r="AK143" s="299" t="e">
        <f>#REF!</f>
        <v>#REF!</v>
      </c>
      <c r="AL143" s="300" t="e">
        <f t="shared" si="0"/>
        <v>#REF!</v>
      </c>
      <c r="AM143" s="300" t="e">
        <f t="shared" si="1"/>
        <v>#REF!</v>
      </c>
    </row>
    <row r="144" spans="4:46" ht="27.75" customHeight="1">
      <c r="D144" s="1">
        <v>37</v>
      </c>
      <c r="AB144" s="297" t="s">
        <v>628</v>
      </c>
      <c r="AC144" s="952" t="s">
        <v>1369</v>
      </c>
      <c r="AD144" s="952"/>
      <c r="AE144" s="952"/>
      <c r="AF144" s="952"/>
      <c r="AG144" s="952"/>
      <c r="AH144" s="298" t="s">
        <v>1035</v>
      </c>
      <c r="AI144" s="299" t="e">
        <f>#REF!</f>
        <v>#REF!</v>
      </c>
      <c r="AJ144" s="299" t="e">
        <f>#REF!</f>
        <v>#REF!</v>
      </c>
      <c r="AK144" s="299" t="e">
        <f>#REF!</f>
        <v>#REF!</v>
      </c>
      <c r="AL144" s="300" t="e">
        <f t="shared" si="0"/>
        <v>#REF!</v>
      </c>
      <c r="AM144" s="300" t="e">
        <f t="shared" si="1"/>
        <v>#REF!</v>
      </c>
    </row>
    <row r="145" spans="4:39" ht="39" customHeight="1">
      <c r="D145" s="1">
        <v>52</v>
      </c>
      <c r="AB145" s="297" t="s">
        <v>902</v>
      </c>
      <c r="AC145" s="952" t="s">
        <v>1370</v>
      </c>
      <c r="AD145" s="952"/>
      <c r="AE145" s="952"/>
      <c r="AF145" s="952"/>
      <c r="AG145" s="952"/>
      <c r="AH145" s="298" t="s">
        <v>1035</v>
      </c>
      <c r="AI145" s="299" t="e">
        <f>#REF!</f>
        <v>#REF!</v>
      </c>
      <c r="AJ145" s="299" t="e">
        <f>#REF!</f>
        <v>#REF!</v>
      </c>
      <c r="AK145" s="299" t="e">
        <f>#REF!</f>
        <v>#REF!</v>
      </c>
      <c r="AL145" s="300" t="e">
        <f t="shared" si="0"/>
        <v>#REF!</v>
      </c>
      <c r="AM145" s="300" t="e">
        <f t="shared" si="1"/>
        <v>#REF!</v>
      </c>
    </row>
    <row r="146" spans="4:39" ht="27" customHeight="1">
      <c r="D146" s="1">
        <v>36</v>
      </c>
      <c r="AB146" s="295" t="s">
        <v>530</v>
      </c>
      <c r="AC146" s="951" t="s">
        <v>1371</v>
      </c>
      <c r="AD146" s="951"/>
      <c r="AE146" s="951"/>
      <c r="AF146" s="951"/>
      <c r="AG146" s="951"/>
      <c r="AH146" s="293"/>
      <c r="AI146" s="296"/>
      <c r="AJ146" s="296"/>
      <c r="AK146" s="296"/>
      <c r="AL146" s="296"/>
      <c r="AM146" s="296"/>
    </row>
    <row r="147" spans="4:39" ht="27.75" customHeight="1">
      <c r="D147" s="1">
        <v>37</v>
      </c>
      <c r="AB147" s="297" t="s">
        <v>632</v>
      </c>
      <c r="AC147" s="952" t="s">
        <v>1372</v>
      </c>
      <c r="AD147" s="952"/>
      <c r="AE147" s="952"/>
      <c r="AF147" s="952"/>
      <c r="AG147" s="952"/>
      <c r="AH147" s="298" t="s">
        <v>1035</v>
      </c>
      <c r="AI147" s="299" t="e">
        <f>#REF!</f>
        <v>#REF!</v>
      </c>
      <c r="AJ147" s="299" t="e">
        <f>#REF!</f>
        <v>#REF!</v>
      </c>
      <c r="AK147" s="299" t="e">
        <f>#REF!</f>
        <v>#REF!</v>
      </c>
      <c r="AL147" s="300" t="e">
        <f>AK147-AJ147</f>
        <v>#REF!</v>
      </c>
      <c r="AM147" s="300" t="e">
        <f>IF(AJ147=0,0,AK147/AJ147)</f>
        <v>#REF!</v>
      </c>
    </row>
    <row r="148" spans="4:39" ht="27.75" customHeight="1">
      <c r="D148" s="1">
        <v>37</v>
      </c>
      <c r="AB148" s="297" t="s">
        <v>762</v>
      </c>
      <c r="AC148" s="952" t="s">
        <v>1373</v>
      </c>
      <c r="AD148" s="952"/>
      <c r="AE148" s="952"/>
      <c r="AF148" s="952"/>
      <c r="AG148" s="952"/>
      <c r="AH148" s="298" t="s">
        <v>1035</v>
      </c>
      <c r="AI148" s="299" t="e">
        <f>#REF!</f>
        <v>#REF!</v>
      </c>
      <c r="AJ148" s="299" t="e">
        <f>#REF!</f>
        <v>#REF!</v>
      </c>
      <c r="AK148" s="299" t="e">
        <f>#REF!</f>
        <v>#REF!</v>
      </c>
      <c r="AL148" s="300" t="e">
        <f>AK148-AJ148</f>
        <v>#REF!</v>
      </c>
      <c r="AM148" s="300" t="e">
        <f>IF(AJ148=0,0,AK148/AJ148)</f>
        <v>#REF!</v>
      </c>
    </row>
    <row r="149" spans="4:39" ht="13.5" customHeight="1">
      <c r="D149" s="1">
        <v>18</v>
      </c>
      <c r="AB149" s="295" t="s">
        <v>532</v>
      </c>
      <c r="AC149" s="951" t="s">
        <v>1374</v>
      </c>
      <c r="AD149" s="951"/>
      <c r="AE149" s="951"/>
      <c r="AF149" s="951"/>
      <c r="AG149" s="951"/>
      <c r="AH149" s="293"/>
      <c r="AI149" s="296"/>
      <c r="AJ149" s="296"/>
      <c r="AK149" s="296"/>
      <c r="AL149" s="296"/>
      <c r="AM149" s="296"/>
    </row>
    <row r="150" spans="4:39" ht="13.5" customHeight="1">
      <c r="D150" s="1">
        <v>18</v>
      </c>
      <c r="AB150" s="297" t="s">
        <v>637</v>
      </c>
      <c r="AC150" s="952" t="s">
        <v>616</v>
      </c>
      <c r="AD150" s="952"/>
      <c r="AE150" s="952"/>
      <c r="AF150" s="952"/>
      <c r="AG150" s="952"/>
      <c r="AH150" s="298" t="s">
        <v>1035</v>
      </c>
      <c r="AI150" s="299" t="e">
        <f>#REF!</f>
        <v>#REF!</v>
      </c>
      <c r="AJ150" s="299" t="e">
        <f>#REF!</f>
        <v>#REF!</v>
      </c>
      <c r="AK150" s="299" t="e">
        <f>#REF!</f>
        <v>#REF!</v>
      </c>
      <c r="AL150" s="300" t="e">
        <f t="shared" ref="AL150:AL169" si="2">AK150-AJ150</f>
        <v>#REF!</v>
      </c>
      <c r="AM150" s="300" t="e">
        <f t="shared" ref="AM150:AM169" si="3">IF(AJ150=0,0,AK150/AJ150)</f>
        <v>#REF!</v>
      </c>
    </row>
    <row r="151" spans="4:39" ht="13.5" customHeight="1">
      <c r="D151" s="1">
        <v>18</v>
      </c>
      <c r="AB151" s="295" t="s">
        <v>988</v>
      </c>
      <c r="AC151" s="951" t="s">
        <v>1375</v>
      </c>
      <c r="AD151" s="951"/>
      <c r="AE151" s="951"/>
      <c r="AF151" s="951"/>
      <c r="AG151" s="951"/>
      <c r="AH151" s="293" t="s">
        <v>1035</v>
      </c>
      <c r="AI151" s="299" t="e">
        <f>#REF!</f>
        <v>#REF!</v>
      </c>
      <c r="AJ151" s="299" t="e">
        <f>#REF!</f>
        <v>#REF!</v>
      </c>
      <c r="AK151" s="299" t="e">
        <f>#REF!</f>
        <v>#REF!</v>
      </c>
      <c r="AL151" s="301" t="e">
        <f t="shared" si="2"/>
        <v>#REF!</v>
      </c>
      <c r="AM151" s="301" t="e">
        <f t="shared" si="3"/>
        <v>#REF!</v>
      </c>
    </row>
    <row r="152" spans="4:39" ht="13.5" customHeight="1">
      <c r="D152" s="1">
        <v>18</v>
      </c>
      <c r="AB152" s="297" t="s">
        <v>642</v>
      </c>
      <c r="AC152" s="952" t="s">
        <v>1376</v>
      </c>
      <c r="AD152" s="952"/>
      <c r="AE152" s="952"/>
      <c r="AF152" s="952"/>
      <c r="AG152" s="952"/>
      <c r="AH152" s="298" t="s">
        <v>1035</v>
      </c>
      <c r="AI152" s="299" t="e">
        <f>#REF!</f>
        <v>#REF!</v>
      </c>
      <c r="AJ152" s="299" t="e">
        <f>#REF!</f>
        <v>#REF!</v>
      </c>
      <c r="AK152" s="299" t="e">
        <f>#REF!</f>
        <v>#REF!</v>
      </c>
      <c r="AL152" s="300" t="e">
        <f t="shared" si="2"/>
        <v>#REF!</v>
      </c>
      <c r="AM152" s="300" t="e">
        <f t="shared" si="3"/>
        <v>#REF!</v>
      </c>
    </row>
    <row r="153" spans="4:39" ht="13.5" customHeight="1">
      <c r="D153" s="1">
        <v>18</v>
      </c>
      <c r="AB153" s="295" t="s">
        <v>940</v>
      </c>
      <c r="AC153" s="951" t="s">
        <v>1375</v>
      </c>
      <c r="AD153" s="951"/>
      <c r="AE153" s="951"/>
      <c r="AF153" s="951"/>
      <c r="AG153" s="951"/>
      <c r="AH153" s="293" t="s">
        <v>1035</v>
      </c>
      <c r="AI153" s="299" t="e">
        <f>#REF!</f>
        <v>#REF!</v>
      </c>
      <c r="AJ153" s="299" t="e">
        <f>#REF!</f>
        <v>#REF!</v>
      </c>
      <c r="AK153" s="299" t="e">
        <f>#REF!</f>
        <v>#REF!</v>
      </c>
      <c r="AL153" s="301" t="e">
        <f t="shared" si="2"/>
        <v>#REF!</v>
      </c>
      <c r="AM153" s="301" t="e">
        <f t="shared" si="3"/>
        <v>#REF!</v>
      </c>
    </row>
    <row r="154" spans="4:39" ht="13.5" customHeight="1">
      <c r="D154" s="1">
        <v>18</v>
      </c>
      <c r="AB154" s="297" t="s">
        <v>647</v>
      </c>
      <c r="AC154" s="952" t="s">
        <v>1377</v>
      </c>
      <c r="AD154" s="952"/>
      <c r="AE154" s="952"/>
      <c r="AF154" s="952"/>
      <c r="AG154" s="952"/>
      <c r="AH154" s="298" t="s">
        <v>1035</v>
      </c>
      <c r="AI154" s="299" t="e">
        <f>#REF!</f>
        <v>#REF!</v>
      </c>
      <c r="AJ154" s="299" t="e">
        <f>#REF!</f>
        <v>#REF!</v>
      </c>
      <c r="AK154" s="299" t="e">
        <f>#REF!</f>
        <v>#REF!</v>
      </c>
      <c r="AL154" s="300" t="e">
        <f t="shared" si="2"/>
        <v>#REF!</v>
      </c>
      <c r="AM154" s="300" t="e">
        <f t="shared" si="3"/>
        <v>#REF!</v>
      </c>
    </row>
    <row r="155" spans="4:39" ht="13.5" customHeight="1">
      <c r="D155" s="1">
        <v>18</v>
      </c>
      <c r="AB155" s="295" t="s">
        <v>994</v>
      </c>
      <c r="AC155" s="951" t="s">
        <v>1375</v>
      </c>
      <c r="AD155" s="951"/>
      <c r="AE155" s="951"/>
      <c r="AF155" s="951"/>
      <c r="AG155" s="951"/>
      <c r="AH155" s="293" t="s">
        <v>1035</v>
      </c>
      <c r="AI155" s="299" t="e">
        <f>#REF!</f>
        <v>#REF!</v>
      </c>
      <c r="AJ155" s="299" t="e">
        <f>#REF!</f>
        <v>#REF!</v>
      </c>
      <c r="AK155" s="299" t="e">
        <f>#REF!</f>
        <v>#REF!</v>
      </c>
      <c r="AL155" s="301" t="e">
        <f t="shared" si="2"/>
        <v>#REF!</v>
      </c>
      <c r="AM155" s="301" t="e">
        <f t="shared" si="3"/>
        <v>#REF!</v>
      </c>
    </row>
    <row r="156" spans="4:39" ht="13.5" customHeight="1">
      <c r="D156" s="1">
        <v>18</v>
      </c>
      <c r="AB156" s="297" t="s">
        <v>652</v>
      </c>
      <c r="AC156" s="952" t="s">
        <v>1378</v>
      </c>
      <c r="AD156" s="952"/>
      <c r="AE156" s="952"/>
      <c r="AF156" s="952"/>
      <c r="AG156" s="952"/>
      <c r="AH156" s="298" t="s">
        <v>1035</v>
      </c>
      <c r="AI156" s="299" t="e">
        <f>#REF!</f>
        <v>#REF!</v>
      </c>
      <c r="AJ156" s="299" t="e">
        <f>#REF!</f>
        <v>#REF!</v>
      </c>
      <c r="AK156" s="299" t="e">
        <f>#REF!</f>
        <v>#REF!</v>
      </c>
      <c r="AL156" s="300" t="e">
        <f t="shared" si="2"/>
        <v>#REF!</v>
      </c>
      <c r="AM156" s="300" t="e">
        <f t="shared" si="3"/>
        <v>#REF!</v>
      </c>
    </row>
    <row r="157" spans="4:39" ht="13.5" customHeight="1">
      <c r="D157" s="1">
        <v>18</v>
      </c>
      <c r="AB157" s="295" t="s">
        <v>995</v>
      </c>
      <c r="AC157" s="951" t="s">
        <v>1375</v>
      </c>
      <c r="AD157" s="951"/>
      <c r="AE157" s="951"/>
      <c r="AF157" s="951"/>
      <c r="AG157" s="951"/>
      <c r="AH157" s="293" t="s">
        <v>1035</v>
      </c>
      <c r="AI157" s="299" t="e">
        <f>#REF!</f>
        <v>#REF!</v>
      </c>
      <c r="AJ157" s="299" t="e">
        <f>#REF!</f>
        <v>#REF!</v>
      </c>
      <c r="AK157" s="299" t="e">
        <f>#REF!</f>
        <v>#REF!</v>
      </c>
      <c r="AL157" s="301" t="e">
        <f t="shared" si="2"/>
        <v>#REF!</v>
      </c>
      <c r="AM157" s="301" t="e">
        <f t="shared" si="3"/>
        <v>#REF!</v>
      </c>
    </row>
    <row r="158" spans="4:39" ht="27.75" customHeight="1">
      <c r="D158" s="1">
        <v>37</v>
      </c>
      <c r="AB158" s="297" t="s">
        <v>656</v>
      </c>
      <c r="AC158" s="952" t="s">
        <v>621</v>
      </c>
      <c r="AD158" s="952"/>
      <c r="AE158" s="952"/>
      <c r="AF158" s="952"/>
      <c r="AG158" s="952"/>
      <c r="AH158" s="298" t="s">
        <v>1035</v>
      </c>
      <c r="AI158" s="299" t="e">
        <f>#REF!</f>
        <v>#REF!</v>
      </c>
      <c r="AJ158" s="299" t="e">
        <f>#REF!</f>
        <v>#REF!</v>
      </c>
      <c r="AK158" s="299" t="e">
        <f>#REF!</f>
        <v>#REF!</v>
      </c>
      <c r="AL158" s="300" t="e">
        <f t="shared" si="2"/>
        <v>#REF!</v>
      </c>
      <c r="AM158" s="300" t="e">
        <f t="shared" si="3"/>
        <v>#REF!</v>
      </c>
    </row>
    <row r="159" spans="4:39" ht="13.5" customHeight="1">
      <c r="D159" s="1">
        <v>18</v>
      </c>
      <c r="AB159" s="295" t="s">
        <v>1379</v>
      </c>
      <c r="AC159" s="951" t="s">
        <v>1375</v>
      </c>
      <c r="AD159" s="951"/>
      <c r="AE159" s="951"/>
      <c r="AF159" s="951"/>
      <c r="AG159" s="951"/>
      <c r="AH159" s="293" t="s">
        <v>1035</v>
      </c>
      <c r="AI159" s="299" t="e">
        <f>#REF!</f>
        <v>#REF!</v>
      </c>
      <c r="AJ159" s="299" t="e">
        <f>#REF!</f>
        <v>#REF!</v>
      </c>
      <c r="AK159" s="299" t="e">
        <f>#REF!</f>
        <v>#REF!</v>
      </c>
      <c r="AL159" s="301" t="e">
        <f t="shared" si="2"/>
        <v>#REF!</v>
      </c>
      <c r="AM159" s="301" t="e">
        <f t="shared" si="3"/>
        <v>#REF!</v>
      </c>
    </row>
    <row r="160" spans="4:39" ht="13.5" customHeight="1">
      <c r="D160" s="1">
        <v>18</v>
      </c>
      <c r="AB160" s="297" t="s">
        <v>912</v>
      </c>
      <c r="AC160" s="952" t="s">
        <v>1380</v>
      </c>
      <c r="AD160" s="952"/>
      <c r="AE160" s="952"/>
      <c r="AF160" s="952"/>
      <c r="AG160" s="952"/>
      <c r="AH160" s="298" t="s">
        <v>1035</v>
      </c>
      <c r="AI160" s="299" t="e">
        <f>#REF!</f>
        <v>#REF!</v>
      </c>
      <c r="AJ160" s="299" t="e">
        <f>#REF!</f>
        <v>#REF!</v>
      </c>
      <c r="AK160" s="299" t="e">
        <f>#REF!</f>
        <v>#REF!</v>
      </c>
      <c r="AL160" s="300" t="e">
        <f t="shared" si="2"/>
        <v>#REF!</v>
      </c>
      <c r="AM160" s="300" t="e">
        <f t="shared" si="3"/>
        <v>#REF!</v>
      </c>
    </row>
    <row r="161" spans="4:39" ht="13.5" customHeight="1">
      <c r="D161" s="1">
        <v>18</v>
      </c>
      <c r="AB161" s="295" t="s">
        <v>997</v>
      </c>
      <c r="AC161" s="951" t="s">
        <v>1375</v>
      </c>
      <c r="AD161" s="951"/>
      <c r="AE161" s="951"/>
      <c r="AF161" s="951"/>
      <c r="AG161" s="951"/>
      <c r="AH161" s="293" t="s">
        <v>1035</v>
      </c>
      <c r="AI161" s="299" t="e">
        <f>#REF!</f>
        <v>#REF!</v>
      </c>
      <c r="AJ161" s="299" t="e">
        <f>#REF!</f>
        <v>#REF!</v>
      </c>
      <c r="AK161" s="299" t="e">
        <f>#REF!</f>
        <v>#REF!</v>
      </c>
      <c r="AL161" s="301" t="e">
        <f t="shared" si="2"/>
        <v>#REF!</v>
      </c>
      <c r="AM161" s="301" t="e">
        <f t="shared" si="3"/>
        <v>#REF!</v>
      </c>
    </row>
    <row r="162" spans="4:39" ht="13.5" customHeight="1">
      <c r="D162" s="1">
        <v>18</v>
      </c>
      <c r="AB162" s="297" t="s">
        <v>913</v>
      </c>
      <c r="AC162" s="952" t="s">
        <v>1381</v>
      </c>
      <c r="AD162" s="952"/>
      <c r="AE162" s="952"/>
      <c r="AF162" s="952"/>
      <c r="AG162" s="952"/>
      <c r="AH162" s="298" t="s">
        <v>1035</v>
      </c>
      <c r="AI162" s="299" t="e">
        <f>#REF!</f>
        <v>#REF!</v>
      </c>
      <c r="AJ162" s="299" t="e">
        <f>#REF!</f>
        <v>#REF!</v>
      </c>
      <c r="AK162" s="299" t="e">
        <f>#REF!</f>
        <v>#REF!</v>
      </c>
      <c r="AL162" s="300" t="e">
        <f t="shared" si="2"/>
        <v>#REF!</v>
      </c>
      <c r="AM162" s="300" t="e">
        <f t="shared" si="3"/>
        <v>#REF!</v>
      </c>
    </row>
    <row r="163" spans="4:39" ht="13.5" customHeight="1">
      <c r="D163" s="1">
        <v>18</v>
      </c>
      <c r="AB163" s="295" t="s">
        <v>1382</v>
      </c>
      <c r="AC163" s="951" t="s">
        <v>1375</v>
      </c>
      <c r="AD163" s="951"/>
      <c r="AE163" s="951"/>
      <c r="AF163" s="951"/>
      <c r="AG163" s="951"/>
      <c r="AH163" s="293" t="s">
        <v>1035</v>
      </c>
      <c r="AI163" s="299" t="e">
        <f>#REF!</f>
        <v>#REF!</v>
      </c>
      <c r="AJ163" s="299" t="e">
        <f>#REF!</f>
        <v>#REF!</v>
      </c>
      <c r="AK163" s="299" t="e">
        <f>#REF!</f>
        <v>#REF!</v>
      </c>
      <c r="AL163" s="301" t="e">
        <f t="shared" si="2"/>
        <v>#REF!</v>
      </c>
      <c r="AM163" s="301" t="e">
        <f t="shared" si="3"/>
        <v>#REF!</v>
      </c>
    </row>
    <row r="164" spans="4:39" ht="27.75" customHeight="1">
      <c r="D164" s="1">
        <v>37</v>
      </c>
      <c r="AB164" s="297" t="s">
        <v>914</v>
      </c>
      <c r="AC164" s="952" t="s">
        <v>1383</v>
      </c>
      <c r="AD164" s="952"/>
      <c r="AE164" s="952"/>
      <c r="AF164" s="952"/>
      <c r="AG164" s="952"/>
      <c r="AH164" s="298" t="s">
        <v>1035</v>
      </c>
      <c r="AI164" s="299" t="e">
        <f>#REF!</f>
        <v>#REF!</v>
      </c>
      <c r="AJ164" s="299" t="e">
        <f>#REF!</f>
        <v>#REF!</v>
      </c>
      <c r="AK164" s="299" t="e">
        <f>#REF!</f>
        <v>#REF!</v>
      </c>
      <c r="AL164" s="300" t="e">
        <f t="shared" si="2"/>
        <v>#REF!</v>
      </c>
      <c r="AM164" s="300" t="e">
        <f t="shared" si="3"/>
        <v>#REF!</v>
      </c>
    </row>
    <row r="165" spans="4:39" ht="13.5" customHeight="1">
      <c r="D165" s="1">
        <v>18</v>
      </c>
      <c r="AB165" s="295" t="s">
        <v>1384</v>
      </c>
      <c r="AC165" s="951" t="s">
        <v>1375</v>
      </c>
      <c r="AD165" s="951"/>
      <c r="AE165" s="951"/>
      <c r="AF165" s="951"/>
      <c r="AG165" s="951"/>
      <c r="AH165" s="293" t="s">
        <v>1035</v>
      </c>
      <c r="AI165" s="299" t="e">
        <f>#REF!</f>
        <v>#REF!</v>
      </c>
      <c r="AJ165" s="299" t="e">
        <f>#REF!</f>
        <v>#REF!</v>
      </c>
      <c r="AK165" s="299" t="e">
        <f>#REF!</f>
        <v>#REF!</v>
      </c>
      <c r="AL165" s="301" t="e">
        <f t="shared" si="2"/>
        <v>#REF!</v>
      </c>
      <c r="AM165" s="301" t="e">
        <f t="shared" si="3"/>
        <v>#REF!</v>
      </c>
    </row>
    <row r="166" spans="4:39" ht="13.5" customHeight="1">
      <c r="D166" s="1">
        <v>18</v>
      </c>
      <c r="AB166" s="297" t="s">
        <v>915</v>
      </c>
      <c r="AC166" s="952" t="s">
        <v>1385</v>
      </c>
      <c r="AD166" s="952"/>
      <c r="AE166" s="952"/>
      <c r="AF166" s="952"/>
      <c r="AG166" s="952"/>
      <c r="AH166" s="298" t="s">
        <v>1035</v>
      </c>
      <c r="AI166" s="300" t="e">
        <f>AI164-AI160+AI162+AI156</f>
        <v>#REF!</v>
      </c>
      <c r="AJ166" s="300" t="e">
        <f>AJ164-AJ160+AJ162+AJ156</f>
        <v>#REF!</v>
      </c>
      <c r="AK166" s="300" t="e">
        <f>AK164-AK160+AK162+AK156</f>
        <v>#REF!</v>
      </c>
      <c r="AL166" s="300" t="e">
        <f t="shared" si="2"/>
        <v>#REF!</v>
      </c>
      <c r="AM166" s="300" t="e">
        <f t="shared" si="3"/>
        <v>#REF!</v>
      </c>
    </row>
    <row r="167" spans="4:39" ht="13.5" customHeight="1">
      <c r="D167" s="1">
        <v>18</v>
      </c>
      <c r="AB167" s="295" t="s">
        <v>1386</v>
      </c>
      <c r="AC167" s="951" t="s">
        <v>1375</v>
      </c>
      <c r="AD167" s="951"/>
      <c r="AE167" s="951"/>
      <c r="AF167" s="951"/>
      <c r="AG167" s="951"/>
      <c r="AH167" s="293" t="s">
        <v>1035</v>
      </c>
      <c r="AI167" s="299" t="e">
        <f>#REF!</f>
        <v>#REF!</v>
      </c>
      <c r="AJ167" s="299" t="e">
        <f>#REF!</f>
        <v>#REF!</v>
      </c>
      <c r="AK167" s="299" t="e">
        <f>#REF!</f>
        <v>#REF!</v>
      </c>
      <c r="AL167" s="301" t="e">
        <f t="shared" si="2"/>
        <v>#REF!</v>
      </c>
      <c r="AM167" s="301" t="e">
        <f t="shared" si="3"/>
        <v>#REF!</v>
      </c>
    </row>
    <row r="168" spans="4:39" ht="13.5" customHeight="1">
      <c r="D168" s="1">
        <v>18</v>
      </c>
      <c r="AB168" s="297" t="s">
        <v>1001</v>
      </c>
      <c r="AC168" s="952" t="s">
        <v>1387</v>
      </c>
      <c r="AD168" s="952"/>
      <c r="AE168" s="952"/>
      <c r="AF168" s="952"/>
      <c r="AG168" s="952"/>
      <c r="AH168" s="298" t="s">
        <v>1035</v>
      </c>
      <c r="AI168" s="299" t="e">
        <f>#REF!</f>
        <v>#REF!</v>
      </c>
      <c r="AJ168" s="299" t="e">
        <f>#REF!</f>
        <v>#REF!</v>
      </c>
      <c r="AK168" s="299" t="e">
        <f>#REF!</f>
        <v>#REF!</v>
      </c>
      <c r="AL168" s="300" t="e">
        <f t="shared" si="2"/>
        <v>#REF!</v>
      </c>
      <c r="AM168" s="300" t="e">
        <f t="shared" si="3"/>
        <v>#REF!</v>
      </c>
    </row>
    <row r="169" spans="4:39" ht="13.5" customHeight="1">
      <c r="D169" s="1">
        <v>18</v>
      </c>
      <c r="AB169" s="295" t="s">
        <v>1388</v>
      </c>
      <c r="AC169" s="951" t="s">
        <v>1375</v>
      </c>
      <c r="AD169" s="951"/>
      <c r="AE169" s="951"/>
      <c r="AF169" s="951"/>
      <c r="AG169" s="951"/>
      <c r="AH169" s="293" t="s">
        <v>1035</v>
      </c>
      <c r="AI169" s="299" t="e">
        <f>#REF!</f>
        <v>#REF!</v>
      </c>
      <c r="AJ169" s="299" t="e">
        <f>#REF!</f>
        <v>#REF!</v>
      </c>
      <c r="AK169" s="299" t="e">
        <f>#REF!</f>
        <v>#REF!</v>
      </c>
      <c r="AL169" s="301" t="e">
        <f t="shared" si="2"/>
        <v>#REF!</v>
      </c>
      <c r="AM169" s="301" t="e">
        <f t="shared" si="3"/>
        <v>#REF!</v>
      </c>
    </row>
    <row r="170" spans="4:39" ht="13.5" customHeight="1">
      <c r="D170" s="1">
        <v>18</v>
      </c>
      <c r="AB170" s="295" t="s">
        <v>534</v>
      </c>
      <c r="AC170" s="951" t="s">
        <v>1389</v>
      </c>
      <c r="AD170" s="951"/>
      <c r="AE170" s="951"/>
      <c r="AF170" s="951"/>
      <c r="AG170" s="951"/>
      <c r="AH170" s="293"/>
      <c r="AI170" s="293"/>
      <c r="AJ170" s="293"/>
      <c r="AK170" s="293"/>
      <c r="AL170" s="293"/>
      <c r="AM170" s="293"/>
    </row>
    <row r="171" spans="4:39" ht="13.5" customHeight="1">
      <c r="D171" s="1">
        <v>18</v>
      </c>
      <c r="AB171" s="297" t="s">
        <v>665</v>
      </c>
      <c r="AC171" s="952" t="s">
        <v>1390</v>
      </c>
      <c r="AD171" s="952"/>
      <c r="AE171" s="952"/>
      <c r="AF171" s="952"/>
      <c r="AG171" s="952"/>
      <c r="AH171" s="298" t="s">
        <v>633</v>
      </c>
      <c r="AI171" s="302">
        <f>IFERROR(AI144/AI140,0)</f>
        <v>0</v>
      </c>
      <c r="AJ171" s="302">
        <f>IFERROR(AJ144/AJ140,0)</f>
        <v>0</v>
      </c>
      <c r="AK171" s="302">
        <f>IFERROR(AK144/AK140,0)</f>
        <v>0</v>
      </c>
      <c r="AL171" s="300">
        <f>AK171-AJ171</f>
        <v>0</v>
      </c>
      <c r="AM171" s="300">
        <f>IF(AJ171=0,0,AK171/AJ171)</f>
        <v>0</v>
      </c>
    </row>
    <row r="172" spans="4:39" ht="13.5" customHeight="1">
      <c r="D172" s="1">
        <v>18</v>
      </c>
      <c r="AB172" s="297" t="s">
        <v>679</v>
      </c>
      <c r="AC172" s="952" t="s">
        <v>1391</v>
      </c>
      <c r="AD172" s="952"/>
      <c r="AE172" s="952"/>
      <c r="AF172" s="952"/>
      <c r="AG172" s="952"/>
      <c r="AH172" s="298" t="s">
        <v>777</v>
      </c>
      <c r="AI172" s="300">
        <f>IFERROR(AE$32/AI166,0)</f>
        <v>0</v>
      </c>
      <c r="AJ172" s="300">
        <f>IFERROR(AF$32/AJ166,0)</f>
        <v>0</v>
      </c>
      <c r="AK172" s="300">
        <f>IFERROR(AG$32/AK166,0)</f>
        <v>0</v>
      </c>
      <c r="AL172" s="300">
        <f>AK172-AJ172</f>
        <v>0</v>
      </c>
      <c r="AM172" s="300">
        <f>IF(AJ172=0,0,AK172/AJ172)</f>
        <v>0</v>
      </c>
    </row>
    <row r="173" spans="4:39" ht="27.75" customHeight="1">
      <c r="D173" s="1">
        <v>37</v>
      </c>
      <c r="AB173" s="297" t="s">
        <v>683</v>
      </c>
      <c r="AC173" s="952" t="s">
        <v>1392</v>
      </c>
      <c r="AD173" s="952"/>
      <c r="AE173" s="952"/>
      <c r="AF173" s="952"/>
      <c r="AG173" s="952"/>
      <c r="AH173" s="298" t="s">
        <v>1035</v>
      </c>
      <c r="AI173" s="300" t="e">
        <f>AI168+AI156</f>
        <v>#REF!</v>
      </c>
      <c r="AJ173" s="300" t="e">
        <f>AJ168+AJ156</f>
        <v>#REF!</v>
      </c>
      <c r="AK173" s="300" t="e">
        <f>AK168+AK156</f>
        <v>#REF!</v>
      </c>
      <c r="AL173" s="300" t="e">
        <f>AK173-AJ173</f>
        <v>#REF!</v>
      </c>
      <c r="AM173" s="300" t="e">
        <f>IF(AJ173=0,0,AK173/AJ173)</f>
        <v>#REF!</v>
      </c>
    </row>
    <row r="174" spans="4:39" ht="13.5" customHeight="1">
      <c r="D174" s="1">
        <v>18</v>
      </c>
      <c r="AB174" s="297" t="s">
        <v>686</v>
      </c>
      <c r="AC174" s="952" t="s">
        <v>1393</v>
      </c>
      <c r="AD174" s="952"/>
      <c r="AE174" s="952"/>
      <c r="AF174" s="952"/>
      <c r="AG174" s="952"/>
      <c r="AH174" s="298" t="s">
        <v>633</v>
      </c>
      <c r="AI174" s="303">
        <f>IFERROR((AI144-AI141)/AI143,0)</f>
        <v>0</v>
      </c>
      <c r="AJ174" s="303">
        <f>IFERROR((AJ144-AJ141)/AJ143,0)</f>
        <v>0</v>
      </c>
      <c r="AK174" s="303">
        <f>IFERROR((AK144-AK141)/AK143,0)</f>
        <v>0</v>
      </c>
      <c r="AL174" s="300">
        <f>AK174-AJ174</f>
        <v>0</v>
      </c>
      <c r="AM174" s="300">
        <f>IF(AJ174=0,0,AK174/AJ174)</f>
        <v>0</v>
      </c>
    </row>
    <row r="175" spans="4:39" ht="13.5" customHeight="1">
      <c r="D175" s="1">
        <v>18</v>
      </c>
    </row>
    <row r="176" spans="4:39" ht="31.5" customHeight="1">
      <c r="D176" s="1">
        <v>42</v>
      </c>
      <c r="AB176" s="936" t="str">
        <f>"По данным таблицы показателей раздельного учёта "&amp;Титульный!AC27&amp;" за "&amp;PRD-2&amp;" год предприятием получена чистая прибыль в размере (тыс.руб)"</f>
        <v>По данным таблицы показателей раздельного учёта МУП "Горэлектросети" за 2024 год предприятием получена чистая прибыль в размере (тыс.руб)</v>
      </c>
      <c r="AC176" s="781"/>
      <c r="AD176" s="781"/>
      <c r="AE176" s="781"/>
      <c r="AF176" s="781"/>
      <c r="AG176" s="781"/>
      <c r="AH176" s="781"/>
      <c r="AI176" s="781"/>
      <c r="AJ176" s="781"/>
      <c r="AK176" s="781"/>
      <c r="AL176" s="304" t="e">
        <f>AK168</f>
        <v>#REF!</v>
      </c>
    </row>
    <row r="177" spans="4:46" ht="17.25" customHeight="1">
      <c r="D177" s="1">
        <v>23</v>
      </c>
      <c r="AB177" s="957" t="s">
        <v>1394</v>
      </c>
      <c r="AC177" s="781"/>
      <c r="AD177" s="781"/>
      <c r="AE177" s="781"/>
      <c r="AF177" s="781"/>
      <c r="AG177" s="781"/>
      <c r="AH177" s="781"/>
      <c r="AI177" s="781"/>
      <c r="AJ177" s="781"/>
      <c r="AK177" s="781"/>
      <c r="AL177" s="304" t="e">
        <f>AK169</f>
        <v>#REF!</v>
      </c>
    </row>
    <row r="178" spans="4:46" ht="17.25" customHeight="1">
      <c r="D178" s="1">
        <v>23</v>
      </c>
    </row>
    <row r="179" spans="4:46" ht="17.25" customHeight="1">
      <c r="D179" s="1">
        <v>23</v>
      </c>
      <c r="AB179" s="936" t="s">
        <v>1395</v>
      </c>
      <c r="AC179" s="781"/>
      <c r="AD179" s="781"/>
      <c r="AE179" s="781"/>
      <c r="AF179" s="781"/>
      <c r="AG179" s="781"/>
      <c r="AH179" s="781"/>
      <c r="AI179" s="781"/>
      <c r="AJ179" s="781"/>
      <c r="AK179" s="781"/>
      <c r="AL179" s="781"/>
      <c r="AM179" s="781"/>
      <c r="AN179" s="781"/>
      <c r="AO179" s="781"/>
      <c r="AP179" s="781"/>
      <c r="AQ179" s="781"/>
      <c r="AR179" s="781"/>
      <c r="AS179" s="781"/>
      <c r="AT179" s="781"/>
    </row>
    <row r="180" spans="4:46" ht="17.25" customHeight="1">
      <c r="D180" s="1">
        <v>23</v>
      </c>
      <c r="AB180" s="957" t="s">
        <v>1396</v>
      </c>
      <c r="AC180" s="781"/>
      <c r="AD180" s="781"/>
      <c r="AE180" s="781"/>
      <c r="AF180" s="781"/>
      <c r="AG180" s="781"/>
      <c r="AH180" s="781"/>
      <c r="AI180" s="781"/>
      <c r="AJ180" s="781"/>
      <c r="AK180" s="781"/>
      <c r="AL180" s="304" t="e">
        <f>AK151</f>
        <v>#REF!</v>
      </c>
    </row>
    <row r="181" spans="4:46" ht="17.25" customHeight="1">
      <c r="D181" s="1">
        <v>23</v>
      </c>
      <c r="AB181" s="957" t="s">
        <v>1397</v>
      </c>
      <c r="AC181" s="781"/>
      <c r="AD181" s="781"/>
      <c r="AE181" s="781"/>
      <c r="AF181" s="781"/>
      <c r="AG181" s="781"/>
      <c r="AH181" s="781"/>
      <c r="AI181" s="781"/>
      <c r="AJ181" s="781"/>
      <c r="AK181" s="781"/>
      <c r="AL181" s="304" t="e">
        <f>AK153</f>
        <v>#REF!</v>
      </c>
    </row>
    <row r="182" spans="4:46" ht="17.25" customHeight="1">
      <c r="D182" s="1">
        <v>23</v>
      </c>
      <c r="AB182" s="892" t="e">
        <f>IF(AL182&gt;0,"ниже суммы выручки на "&amp;AL182&amp;" тыс.руб. (-"&amp;AM182&amp;"%)","выше суммы выручки на "&amp;AL182&amp;" тыс.руб. ("&amp;ROUND(AM182,2)&amp;"%)")</f>
        <v>#REF!</v>
      </c>
      <c r="AC182" s="781"/>
      <c r="AD182" s="781"/>
      <c r="AE182" s="781"/>
      <c r="AF182" s="781"/>
      <c r="AG182" s="781"/>
      <c r="AH182" s="781"/>
      <c r="AI182" s="781"/>
      <c r="AJ182" s="781"/>
      <c r="AK182" s="931"/>
      <c r="AL182" s="305" t="e">
        <f>AL180-AL181</f>
        <v>#REF!</v>
      </c>
      <c r="AM182" s="306" t="e">
        <f>IF(AL181=0,0,AL180/AL181)</f>
        <v>#REF!</v>
      </c>
    </row>
    <row r="183" spans="4:46" ht="17.25" customHeight="1">
      <c r="D183" s="1">
        <v>23</v>
      </c>
    </row>
    <row r="184" spans="4:46" ht="17.25" customHeight="1">
      <c r="D184" s="1">
        <v>23</v>
      </c>
      <c r="AB184" s="957" t="s">
        <v>1398</v>
      </c>
      <c r="AC184" s="781"/>
      <c r="AD184" s="781"/>
      <c r="AE184" s="781"/>
      <c r="AF184" s="781"/>
      <c r="AG184" s="781"/>
      <c r="AH184" s="781"/>
      <c r="AI184" s="781"/>
      <c r="AJ184" s="781"/>
      <c r="AK184" s="781"/>
      <c r="AL184" s="304" t="e">
        <f>AK155</f>
        <v>#REF!</v>
      </c>
    </row>
    <row r="185" spans="4:46" ht="17.25" customHeight="1">
      <c r="D185" s="1">
        <v>23</v>
      </c>
      <c r="AB185" s="957" t="s">
        <v>1399</v>
      </c>
      <c r="AC185" s="781"/>
      <c r="AD185" s="781"/>
      <c r="AE185" s="781"/>
      <c r="AF185" s="781"/>
      <c r="AG185" s="781"/>
      <c r="AH185" s="781"/>
      <c r="AI185" s="781"/>
      <c r="AJ185" s="781"/>
      <c r="AK185" s="781"/>
      <c r="AL185" s="304" t="e">
        <f>AK159</f>
        <v>#REF!</v>
      </c>
    </row>
    <row r="186" spans="4:46" ht="27.75" customHeight="1">
      <c r="D186" s="1">
        <v>37</v>
      </c>
      <c r="AB186" s="955" t="e">
        <f>IF(AL182&gt;0,"В общем можно сделать вывод, что по виду деятельности «Передача электроэнергии», деятельность "&amp;Титульный!AC27&amp;" в "&amp;PRD-2&amp;" году являлась прибыльной.","В общем можно сделать вывод, что по виду деятельности «Передача электроэнергии», деятельность "&amp;Титульный!AC27&amp;" в "&amp;PRD-2&amp;" году являлась убыточной.")</f>
        <v>#REF!</v>
      </c>
      <c r="AC186" s="955"/>
      <c r="AD186" s="955"/>
      <c r="AE186" s="955"/>
      <c r="AF186" s="955"/>
      <c r="AG186" s="955"/>
      <c r="AH186" s="955"/>
      <c r="AI186" s="955"/>
      <c r="AJ186" s="955"/>
      <c r="AK186" s="955"/>
      <c r="AL186" s="955"/>
      <c r="AM186" s="781"/>
      <c r="AN186" s="781"/>
      <c r="AO186" s="781"/>
      <c r="AP186" s="781"/>
      <c r="AQ186" s="781"/>
      <c r="AR186" s="781"/>
      <c r="AS186" s="781"/>
      <c r="AT186" s="781"/>
    </row>
    <row r="187" spans="4:46" ht="17.25" customHeight="1">
      <c r="D187" s="1">
        <v>23</v>
      </c>
      <c r="AB187" s="892" t="str">
        <f>"Валюта баланса "&amp;Титульный!AC27&amp;" на 31.12."&amp;PRD-2&amp;"  года составила"</f>
        <v>Валюта баланса МУП "Горэлектросети" на 31.12.2024  года составила</v>
      </c>
      <c r="AC187" s="781"/>
      <c r="AD187" s="781"/>
      <c r="AE187" s="781"/>
      <c r="AF187" s="781"/>
      <c r="AG187" s="781"/>
      <c r="AH187" s="781"/>
      <c r="AI187" s="781"/>
      <c r="AJ187" s="781"/>
      <c r="AK187" s="781"/>
      <c r="AL187" s="304" t="e">
        <f>AK140</f>
        <v>#REF!</v>
      </c>
    </row>
    <row r="188" spans="4:46" ht="17.25" customHeight="1">
      <c r="D188" s="1">
        <v>23</v>
      </c>
      <c r="AB188" s="892" t="e">
        <f>IF(AL188&lt;0,"Снижение по сравнению с аналогичным периодом прошлого года составило","Рост по сравнению с аналогичным периодом прошлого года составил")</f>
        <v>#REF!</v>
      </c>
      <c r="AC188" s="781"/>
      <c r="AD188" s="781"/>
      <c r="AE188" s="781"/>
      <c r="AF188" s="781"/>
      <c r="AG188" s="781"/>
      <c r="AH188" s="781"/>
      <c r="AI188" s="781"/>
      <c r="AJ188" s="781"/>
      <c r="AK188" s="781"/>
      <c r="AL188" s="304" t="e">
        <f>AL140</f>
        <v>#REF!</v>
      </c>
    </row>
    <row r="189" spans="4:46" ht="17.25" customHeight="1">
      <c r="D189" s="1">
        <v>23</v>
      </c>
      <c r="AB189" s="892" t="s">
        <v>1400</v>
      </c>
      <c r="AC189" s="781"/>
      <c r="AD189" s="781"/>
      <c r="AE189" s="781"/>
      <c r="AF189" s="781"/>
      <c r="AG189" s="781"/>
      <c r="AH189" s="781"/>
      <c r="AI189" s="781"/>
      <c r="AJ189" s="781"/>
      <c r="AK189" s="781"/>
    </row>
    <row r="190" spans="4:46" ht="17.25" customHeight="1">
      <c r="D190" s="1">
        <v>23</v>
      </c>
      <c r="AB190" s="892" t="s">
        <v>1401</v>
      </c>
      <c r="AC190" s="781"/>
      <c r="AD190" s="781"/>
      <c r="AE190" s="781"/>
      <c r="AF190" s="781"/>
      <c r="AG190" s="781"/>
      <c r="AH190" s="781"/>
      <c r="AI190" s="304" t="e">
        <f>AK141</f>
        <v>#REF!</v>
      </c>
      <c r="AJ190" s="307" t="s">
        <v>1402</v>
      </c>
      <c r="AK190" s="308" t="e">
        <f>IF(AL187=0,0,AI190/AL187)</f>
        <v>#REF!</v>
      </c>
      <c r="AL190" s="956" t="s">
        <v>1403</v>
      </c>
      <c r="AM190" s="781"/>
    </row>
    <row r="191" spans="4:46" ht="17.25" customHeight="1">
      <c r="D191" s="1">
        <v>23</v>
      </c>
      <c r="AB191" s="892" t="str">
        <f>"2. Оборотные активы по состоянию на 31.12."&amp;PRD-2&amp;" года составляют"</f>
        <v>2. Оборотные активы по состоянию на 31.12.2024 года составляют</v>
      </c>
      <c r="AC191" s="781"/>
      <c r="AD191" s="781"/>
      <c r="AE191" s="781"/>
      <c r="AF191" s="781"/>
      <c r="AG191" s="781"/>
      <c r="AH191" s="781"/>
      <c r="AI191" s="304" t="e">
        <f>AK143</f>
        <v>#REF!</v>
      </c>
    </row>
    <row r="192" spans="4:46" ht="17.25" customHeight="1">
      <c r="D192" s="1">
        <v>23</v>
      </c>
      <c r="AB192" s="892" t="e">
        <f>IF(AI192&lt;0,"Снижение по сравнению с аналогичным периодом прошлого года составило","Рост по сравнению с аналогичным периодом прошлого года составил")</f>
        <v>#REF!</v>
      </c>
      <c r="AC192" s="781"/>
      <c r="AD192" s="781"/>
      <c r="AE192" s="781"/>
      <c r="AF192" s="781"/>
      <c r="AG192" s="781"/>
      <c r="AH192" s="781"/>
      <c r="AI192" s="304" t="e">
        <f>AL143</f>
        <v>#REF!</v>
      </c>
      <c r="AK192" s="308">
        <f>IFERROR(-(AK143/AJ143/100),0)</f>
        <v>0</v>
      </c>
    </row>
    <row r="193" spans="4:46" ht="17.25" customHeight="1">
      <c r="D193" s="1">
        <v>23</v>
      </c>
      <c r="AB193" s="892" t="s">
        <v>1404</v>
      </c>
      <c r="AC193" s="781"/>
      <c r="AD193" s="781"/>
      <c r="AE193" s="781"/>
      <c r="AF193" s="781"/>
      <c r="AG193" s="781"/>
      <c r="AH193" s="781"/>
    </row>
    <row r="194" spans="4:46" ht="17.25" customHeight="1">
      <c r="D194" s="1">
        <v>23</v>
      </c>
      <c r="AB194" s="892" t="s">
        <v>1405</v>
      </c>
      <c r="AC194" s="781"/>
      <c r="AD194" s="781"/>
      <c r="AE194" s="781"/>
      <c r="AF194" s="781"/>
      <c r="AG194" s="781"/>
      <c r="AH194" s="781"/>
      <c r="AI194" s="304" t="e">
        <f>AK147</f>
        <v>#REF!</v>
      </c>
      <c r="AJ194" s="307" t="s">
        <v>1402</v>
      </c>
      <c r="AK194" s="308">
        <f>IFERROR(AI194/$AL$187,0)</f>
        <v>0</v>
      </c>
      <c r="AL194" s="956" t="s">
        <v>1403</v>
      </c>
      <c r="AM194" s="781"/>
    </row>
    <row r="195" spans="4:46" ht="17.25" customHeight="1">
      <c r="D195" s="1">
        <v>23</v>
      </c>
      <c r="AB195" s="892" t="s">
        <v>1406</v>
      </c>
      <c r="AC195" s="781"/>
      <c r="AD195" s="781"/>
      <c r="AE195" s="781"/>
      <c r="AF195" s="781"/>
      <c r="AG195" s="781"/>
      <c r="AH195" s="781"/>
      <c r="AI195" s="304" t="e">
        <f>#REF!</f>
        <v>#REF!</v>
      </c>
      <c r="AJ195" s="307" t="s">
        <v>1402</v>
      </c>
      <c r="AK195" s="308">
        <f>IFERROR(AI195/$AL$187,0)</f>
        <v>0</v>
      </c>
      <c r="AL195" s="956" t="s">
        <v>1403</v>
      </c>
      <c r="AM195" s="781"/>
    </row>
    <row r="196" spans="4:46" ht="17.25" customHeight="1">
      <c r="D196" s="1">
        <v>23</v>
      </c>
      <c r="AB196" s="892" t="s">
        <v>1407</v>
      </c>
      <c r="AC196" s="781"/>
      <c r="AD196" s="781"/>
      <c r="AE196" s="781"/>
      <c r="AF196" s="781"/>
      <c r="AG196" s="781"/>
      <c r="AH196" s="781"/>
      <c r="AI196" s="304" t="e">
        <f>#REF!</f>
        <v>#REF!</v>
      </c>
      <c r="AJ196" s="307" t="s">
        <v>1402</v>
      </c>
      <c r="AK196" s="308">
        <f>IFERROR(AI196/$AL$187,0)</f>
        <v>0</v>
      </c>
      <c r="AL196" s="956" t="s">
        <v>1403</v>
      </c>
      <c r="AM196" s="781"/>
    </row>
    <row r="197" spans="4:46" ht="27.75" customHeight="1">
      <c r="D197" s="1">
        <v>37</v>
      </c>
      <c r="AB197" s="936" t="str">
        <f>"В структуре пассивов "&amp;Титульный!AC27&amp;" по состоянию на 31.12."&amp;PRD-2&amp;" года "</f>
        <v xml:space="preserve">В структуре пассивов МУП "Горэлектросети" по состоянию на 31.12.2024 года </v>
      </c>
      <c r="AC197" s="781"/>
      <c r="AD197" s="781"/>
      <c r="AE197" s="781"/>
      <c r="AF197" s="781"/>
      <c r="AG197" s="781"/>
      <c r="AH197" s="781"/>
      <c r="AI197" s="781"/>
      <c r="AJ197" s="781"/>
      <c r="AK197" s="781"/>
      <c r="AL197" s="781"/>
      <c r="AM197" s="781"/>
      <c r="AN197" s="781"/>
      <c r="AO197" s="781"/>
      <c r="AP197" s="781"/>
      <c r="AQ197" s="781"/>
      <c r="AR197" s="781"/>
      <c r="AS197" s="781"/>
      <c r="AT197" s="781"/>
    </row>
    <row r="198" spans="4:46" ht="17.25" customHeight="1">
      <c r="D198" s="1">
        <v>23</v>
      </c>
      <c r="AB198" s="892" t="s">
        <v>1408</v>
      </c>
      <c r="AC198" s="781"/>
      <c r="AD198" s="781"/>
      <c r="AE198" s="781"/>
      <c r="AF198" s="781"/>
      <c r="AG198" s="781"/>
      <c r="AH198" s="781"/>
      <c r="AI198" s="304" t="e">
        <f>#REF!</f>
        <v>#REF!</v>
      </c>
      <c r="AJ198" s="307" t="s">
        <v>1402</v>
      </c>
      <c r="AK198" s="308">
        <f>IFERROR(AI198/$AL$187,0)</f>
        <v>0</v>
      </c>
      <c r="AL198" s="956" t="s">
        <v>1403</v>
      </c>
      <c r="AM198" s="781"/>
    </row>
    <row r="199" spans="4:46" ht="17.25" customHeight="1">
      <c r="D199" s="1">
        <v>23</v>
      </c>
      <c r="AB199" s="892" t="s">
        <v>1409</v>
      </c>
      <c r="AC199" s="781"/>
      <c r="AD199" s="781"/>
      <c r="AE199" s="781"/>
      <c r="AF199" s="781"/>
      <c r="AG199" s="781"/>
      <c r="AH199" s="781"/>
      <c r="AI199" s="304" t="e">
        <f>AK148</f>
        <v>#REF!</v>
      </c>
      <c r="AJ199" s="307" t="s">
        <v>1402</v>
      </c>
      <c r="AK199" s="308">
        <f>IFERROR(AI199/$AL$187,0)</f>
        <v>0</v>
      </c>
      <c r="AL199" s="956" t="s">
        <v>1403</v>
      </c>
      <c r="AM199" s="781"/>
    </row>
    <row r="200" spans="4:46" ht="17.25" customHeight="1">
      <c r="D200" s="1">
        <v>23</v>
      </c>
      <c r="AB200" s="892" t="s">
        <v>1410</v>
      </c>
      <c r="AC200" s="781"/>
      <c r="AD200" s="781"/>
      <c r="AE200" s="781"/>
      <c r="AF200" s="781"/>
      <c r="AG200" s="781"/>
      <c r="AH200" s="781"/>
      <c r="AI200" s="304" t="e">
        <f>#REF!</f>
        <v>#REF!</v>
      </c>
      <c r="AJ200" s="307" t="s">
        <v>1402</v>
      </c>
      <c r="AK200" s="308">
        <f>IFERROR(AI200/$AL$187,0)</f>
        <v>0</v>
      </c>
      <c r="AL200" s="956" t="s">
        <v>1403</v>
      </c>
      <c r="AM200" s="781"/>
    </row>
    <row r="201" spans="4:46" ht="30" customHeight="1">
      <c r="D201" s="1">
        <v>40</v>
      </c>
      <c r="AB201" s="936" t="str">
        <f>"Показатели финансового состояния "&amp;Титульный!AC27&amp;" характеризуются следующими данными:"</f>
        <v>Показатели финансового состояния МУП "Горэлектросети" характеризуются следующими данными:</v>
      </c>
      <c r="AC201" s="781"/>
      <c r="AD201" s="781"/>
      <c r="AE201" s="781"/>
      <c r="AF201" s="781"/>
      <c r="AG201" s="781"/>
      <c r="AH201" s="781"/>
      <c r="AI201" s="781"/>
      <c r="AJ201" s="781"/>
      <c r="AK201" s="781"/>
      <c r="AL201" s="781"/>
      <c r="AM201" s="781"/>
      <c r="AN201" s="781"/>
      <c r="AO201" s="781"/>
      <c r="AP201" s="781"/>
      <c r="AQ201" s="781"/>
      <c r="AR201" s="781"/>
      <c r="AS201" s="781"/>
      <c r="AT201" s="781"/>
    </row>
    <row r="202" spans="4:46" ht="36" customHeight="1">
      <c r="D202" s="1">
        <v>48</v>
      </c>
      <c r="AB202" s="958" t="str">
        <f>"Коэффициент текущей ликвидности "&amp;Титульный!AC27&amp;" в "&amp;PRD-2&amp;" году равен"</f>
        <v>Коэффициент текущей ликвидности МУП "Горэлектросети" в 2024 году равен</v>
      </c>
      <c r="AC202" s="781"/>
      <c r="AD202" s="781"/>
      <c r="AE202" s="781"/>
      <c r="AF202" s="781"/>
      <c r="AG202" s="781"/>
      <c r="AH202" s="781"/>
      <c r="AI202" s="781"/>
      <c r="AJ202" s="304" t="e">
        <f>#REF!</f>
        <v>#REF!</v>
      </c>
      <c r="AK202" s="307" t="s">
        <v>1411</v>
      </c>
      <c r="AL202" s="309" t="e">
        <f>AJ202-2</f>
        <v>#REF!</v>
      </c>
      <c r="AM202" s="956" t="e">
        <f>IF(AL202&lt;0,"ниже нормы","выше нормы")</f>
        <v>#REF!</v>
      </c>
      <c r="AN202" s="781"/>
    </row>
    <row r="203" spans="4:46" ht="27.75" customHeight="1">
      <c r="D203" s="1">
        <v>37</v>
      </c>
      <c r="AB203" s="896" t="s">
        <v>1412</v>
      </c>
      <c r="AC203" s="896"/>
      <c r="AD203" s="896"/>
      <c r="AE203" s="896"/>
      <c r="AF203" s="896"/>
      <c r="AG203" s="896"/>
      <c r="AH203" s="896"/>
      <c r="AI203" s="896"/>
      <c r="AJ203" s="896"/>
      <c r="AK203" s="896"/>
      <c r="AL203" s="896"/>
      <c r="AM203" s="896"/>
      <c r="AN203" s="896"/>
      <c r="AO203" s="896"/>
      <c r="AP203" s="896"/>
      <c r="AQ203" s="896"/>
      <c r="AR203" s="896"/>
      <c r="AS203" s="896"/>
      <c r="AT203" s="896"/>
    </row>
    <row r="204" spans="4:46" ht="27.75" customHeight="1">
      <c r="D204" s="1">
        <v>37</v>
      </c>
      <c r="AB204" s="896" t="str">
        <f>"Это свидетельствует о трудностях в погашении организацией своих текущих обязательств. Анализ результатов расчёта свидетельствует о невозможности "&amp;Титульный!AC27&amp;" покрыть свои текущие обязательства оборотными активами"</f>
        <v>Это свидетельствует о трудностях в погашении организацией своих текущих обязательств. Анализ результатов расчёта свидетельствует о невозможности МУП "Горэлектросети" покрыть свои текущие обязательства оборотными активами</v>
      </c>
      <c r="AC204" s="896"/>
      <c r="AD204" s="896"/>
      <c r="AE204" s="896"/>
      <c r="AF204" s="896"/>
      <c r="AG204" s="896"/>
      <c r="AH204" s="896"/>
      <c r="AI204" s="896"/>
      <c r="AJ204" s="896"/>
      <c r="AK204" s="896"/>
      <c r="AL204" s="896"/>
      <c r="AM204" s="896"/>
      <c r="AN204" s="896"/>
      <c r="AO204" s="896"/>
      <c r="AP204" s="896"/>
      <c r="AQ204" s="896"/>
      <c r="AR204" s="896"/>
      <c r="AS204" s="896"/>
      <c r="AT204" s="896"/>
    </row>
    <row r="205" spans="4:46" ht="24" customHeight="1">
      <c r="D205" s="1">
        <v>32</v>
      </c>
      <c r="AB205" s="940" t="str">
        <f>"Коэффициент финансовой автономии в "&amp;PRD-2&amp;" году равен"</f>
        <v>Коэффициент финансовой автономии в 2024 году равен</v>
      </c>
      <c r="AC205" s="781"/>
      <c r="AD205" s="781"/>
      <c r="AE205" s="781"/>
      <c r="AF205" s="781"/>
      <c r="AG205" s="781"/>
      <c r="AH205" s="781"/>
      <c r="AI205" s="781"/>
      <c r="AJ205" s="304" t="e">
        <f>#REF!</f>
        <v>#REF!</v>
      </c>
    </row>
    <row r="206" spans="4:46" ht="27.75" customHeight="1">
      <c r="D206" s="1">
        <v>37</v>
      </c>
      <c r="AB206" s="896" t="s">
        <v>1413</v>
      </c>
      <c r="AC206" s="896"/>
      <c r="AD206" s="896"/>
      <c r="AE206" s="896"/>
      <c r="AF206" s="896"/>
      <c r="AG206" s="896"/>
      <c r="AH206" s="896"/>
      <c r="AI206" s="896"/>
      <c r="AJ206" s="896"/>
      <c r="AK206" s="896"/>
      <c r="AL206" s="896"/>
      <c r="AM206" s="896"/>
      <c r="AN206" s="896"/>
      <c r="AO206" s="896"/>
      <c r="AP206" s="896"/>
      <c r="AQ206" s="896"/>
      <c r="AR206" s="896"/>
      <c r="AS206" s="896"/>
      <c r="AT206" s="896"/>
    </row>
    <row r="207" spans="4:46" ht="24" customHeight="1">
      <c r="D207" s="1">
        <v>32</v>
      </c>
      <c r="AB207" s="940" t="str">
        <f>"Коэффициент коэффициент финансовой устойчивости "&amp;PRD-2&amp;" году равен"</f>
        <v>Коэффициент коэффициент финансовой устойчивости 2024 году равен</v>
      </c>
      <c r="AC207" s="781"/>
      <c r="AD207" s="781"/>
      <c r="AE207" s="781"/>
      <c r="AF207" s="781"/>
      <c r="AG207" s="781"/>
      <c r="AH207" s="781"/>
      <c r="AI207" s="781"/>
      <c r="AJ207" s="304" t="e">
        <f>#REF!</f>
        <v>#REF!</v>
      </c>
    </row>
    <row r="208" spans="4:46" ht="27.75" customHeight="1">
      <c r="D208" s="1">
        <v>37</v>
      </c>
      <c r="AB208" s="940" t="s">
        <v>1414</v>
      </c>
      <c r="AC208" s="781"/>
      <c r="AD208" s="781"/>
      <c r="AE208" s="781"/>
      <c r="AF208" s="781"/>
      <c r="AG208" s="781"/>
      <c r="AH208" s="781"/>
      <c r="AI208" s="781"/>
      <c r="AJ208" s="304"/>
    </row>
    <row r="209" spans="4:46" ht="33.75" customHeight="1">
      <c r="D209" s="1">
        <v>45</v>
      </c>
      <c r="AB209" s="896" t="e">
        <f>IF(AJ207&gt;AJ208,"Коэффициент финансовой устойчивости поднялся выше 0,75. Это может свидетельствовать об отсутствии возникновении риска хронической неплатежеспособности организации","Коэффициент финансовой устойчивости не поднялся выше 0,75. Это может свидетельствовать о возможности возникновении риска хронической неплатежеспособности организации")&amp;", а также ее попадания в финансовую зависимость от кредиторов. Чем меньше значение коэффициента, тем в большей степени организация зависима от заемных источников финансирование, тем менее устойчивое у нее финансовое положение"</f>
        <v>#REF!</v>
      </c>
      <c r="AC209" s="896"/>
      <c r="AD209" s="896"/>
      <c r="AE209" s="896"/>
      <c r="AF209" s="896"/>
      <c r="AG209" s="896"/>
      <c r="AH209" s="896"/>
      <c r="AI209" s="896"/>
      <c r="AJ209" s="896"/>
      <c r="AK209" s="896"/>
      <c r="AL209" s="896"/>
      <c r="AM209" s="896"/>
      <c r="AN209" s="896"/>
      <c r="AO209" s="896"/>
      <c r="AP209" s="896"/>
      <c r="AQ209" s="896"/>
      <c r="AR209" s="896"/>
      <c r="AS209" s="896"/>
      <c r="AT209" s="896"/>
    </row>
    <row r="210" spans="4:46" ht="24" customHeight="1">
      <c r="D210" s="1">
        <v>32</v>
      </c>
      <c r="AB210" s="940" t="s">
        <v>1415</v>
      </c>
      <c r="AC210" s="781"/>
      <c r="AD210" s="781"/>
      <c r="AE210" s="781"/>
      <c r="AF210" s="781"/>
      <c r="AG210" s="781"/>
      <c r="AH210" s="781"/>
      <c r="AI210" s="781"/>
      <c r="AJ210" s="304">
        <f>AK194</f>
        <v>0</v>
      </c>
    </row>
    <row r="211" spans="4:46" ht="31.5" customHeight="1">
      <c r="D211" s="1">
        <v>42</v>
      </c>
      <c r="AB211" s="896" t="s">
        <v>1416</v>
      </c>
      <c r="AC211" s="896"/>
      <c r="AD211" s="896"/>
      <c r="AE211" s="896"/>
      <c r="AF211" s="896"/>
      <c r="AG211" s="896"/>
      <c r="AH211" s="896"/>
      <c r="AI211" s="896"/>
      <c r="AJ211" s="896"/>
      <c r="AK211" s="896"/>
      <c r="AL211" s="896"/>
      <c r="AM211" s="896"/>
      <c r="AN211" s="896"/>
      <c r="AO211" s="896"/>
      <c r="AP211" s="896"/>
      <c r="AQ211" s="896"/>
      <c r="AR211" s="896"/>
      <c r="AS211" s="896"/>
      <c r="AT211" s="896"/>
    </row>
    <row r="212" spans="4:46" ht="17.25" customHeight="1">
      <c r="D212" s="1">
        <v>23</v>
      </c>
      <c r="AB212" s="896" t="e">
        <f>"Общая рентабельность "&amp;AG27&amp;" за "&amp;AJ138&amp;" год составила "&amp;ROUND(#REF!*100,2)&amp;"%. За "&amp;#REF!&amp;" год – "&amp;ROUND(#REF!*100,2)&amp;"%. "</f>
        <v>#REF!</v>
      </c>
      <c r="AC212" s="896"/>
      <c r="AD212" s="896"/>
      <c r="AE212" s="896"/>
      <c r="AF212" s="896"/>
      <c r="AG212" s="896"/>
      <c r="AH212" s="896"/>
      <c r="AI212" s="896"/>
      <c r="AJ212" s="896"/>
      <c r="AK212" s="896"/>
      <c r="AL212" s="896"/>
      <c r="AM212" s="896"/>
      <c r="AN212" s="896"/>
      <c r="AO212" s="896"/>
      <c r="AP212" s="896"/>
      <c r="AQ212" s="896"/>
      <c r="AR212" s="896"/>
      <c r="AS212" s="896"/>
      <c r="AT212" s="896"/>
    </row>
    <row r="213" spans="4:46" ht="17.25" customHeight="1">
      <c r="D213" s="1">
        <v>23</v>
      </c>
      <c r="AB213" s="896" t="e">
        <f>IF(#REF!&lt;#REF!,"Наблюдается увеличение показателя. Нормальным считается любое положительное значение.","Наблюдается снижение показателя. Нормальным считается любое положительное значение.")</f>
        <v>#REF!</v>
      </c>
      <c r="AC213" s="896"/>
      <c r="AD213" s="896"/>
      <c r="AE213" s="896"/>
      <c r="AF213" s="896"/>
      <c r="AG213" s="896"/>
      <c r="AH213" s="896"/>
      <c r="AI213" s="896"/>
      <c r="AJ213" s="896"/>
      <c r="AK213" s="896"/>
      <c r="AL213" s="896"/>
      <c r="AM213" s="896"/>
      <c r="AN213" s="896"/>
      <c r="AO213" s="896"/>
      <c r="AP213" s="896"/>
      <c r="AQ213" s="896"/>
      <c r="AR213" s="896"/>
      <c r="AS213" s="896"/>
      <c r="AT213" s="896"/>
    </row>
    <row r="214" spans="4:46" ht="30" customHeight="1">
      <c r="D214" s="1">
        <v>40</v>
      </c>
      <c r="AB214" s="960"/>
      <c r="AC214" s="961"/>
      <c r="AD214" s="961"/>
      <c r="AE214" s="961"/>
      <c r="AF214" s="961"/>
      <c r="AG214" s="961"/>
      <c r="AH214" s="961"/>
      <c r="AI214" s="961"/>
      <c r="AJ214" s="961"/>
      <c r="AK214" s="961"/>
      <c r="AL214" s="961"/>
      <c r="AM214" s="961"/>
      <c r="AN214" s="961"/>
      <c r="AO214" s="961"/>
      <c r="AP214" s="961"/>
      <c r="AQ214" s="961"/>
      <c r="AR214" s="961"/>
      <c r="AS214" s="961"/>
      <c r="AT214" s="962"/>
    </row>
    <row r="215" spans="4:46" ht="30" customHeight="1">
      <c r="D215" s="1">
        <v>40</v>
      </c>
      <c r="AB215" s="960"/>
      <c r="AC215" s="961"/>
      <c r="AD215" s="961"/>
      <c r="AE215" s="961"/>
      <c r="AF215" s="961"/>
      <c r="AG215" s="961"/>
      <c r="AH215" s="961"/>
      <c r="AI215" s="961"/>
      <c r="AJ215" s="961"/>
      <c r="AK215" s="961"/>
      <c r="AL215" s="961"/>
      <c r="AM215" s="961"/>
      <c r="AN215" s="961"/>
      <c r="AO215" s="961"/>
      <c r="AP215" s="961"/>
      <c r="AQ215" s="961"/>
      <c r="AR215" s="961"/>
      <c r="AS215" s="961"/>
      <c r="AT215" s="962"/>
    </row>
    <row r="216" spans="4:46" ht="13.5" customHeight="1">
      <c r="D216">
        <v>18</v>
      </c>
      <c r="AB216" s="781"/>
      <c r="AC216" s="781"/>
      <c r="AD216" s="781"/>
      <c r="AE216" s="781"/>
      <c r="AF216" s="781"/>
      <c r="AG216" s="781"/>
      <c r="AH216" s="781"/>
      <c r="AI216" s="781"/>
      <c r="AJ216" s="781"/>
      <c r="AK216" s="781"/>
      <c r="AL216" s="781"/>
      <c r="AM216" s="781"/>
      <c r="AN216" s="781"/>
      <c r="AO216" s="781"/>
      <c r="AP216" s="781"/>
      <c r="AQ216" s="781"/>
      <c r="AR216" s="781"/>
      <c r="AS216" s="781"/>
      <c r="AT216" s="781"/>
    </row>
    <row r="217" spans="4:46" ht="13.5" customHeight="1">
      <c r="D217">
        <v>18</v>
      </c>
    </row>
    <row r="218" spans="4:46" ht="33.75" customHeight="1">
      <c r="D218" s="1">
        <v>45</v>
      </c>
      <c r="AB218" s="959" t="s">
        <v>1417</v>
      </c>
      <c r="AC218" s="959"/>
      <c r="AD218" s="959"/>
      <c r="AE218" s="959"/>
      <c r="AF218" s="959"/>
      <c r="AG218" s="959"/>
      <c r="AH218" s="959"/>
      <c r="AI218" s="959"/>
      <c r="AJ218" s="959"/>
      <c r="AK218" s="959"/>
      <c r="AL218" s="959"/>
      <c r="AM218" s="959"/>
      <c r="AN218" s="959"/>
      <c r="AO218" s="959"/>
      <c r="AP218" s="959"/>
      <c r="AQ218" s="959"/>
    </row>
    <row r="219" spans="4:46" ht="13.5" customHeight="1">
      <c r="D219" s="1">
        <v>18</v>
      </c>
    </row>
    <row r="220" spans="4:46" ht="59.25" customHeight="1">
      <c r="D220" s="1">
        <v>79</v>
      </c>
      <c r="AB220" s="311" t="s">
        <v>1327</v>
      </c>
      <c r="AC220" s="966" t="s">
        <v>1418</v>
      </c>
      <c r="AD220" s="966"/>
      <c r="AE220" s="966"/>
      <c r="AF220" s="966"/>
      <c r="AG220" s="966"/>
      <c r="AH220" s="966"/>
      <c r="AI220" s="966"/>
      <c r="AJ220" s="966"/>
      <c r="AK220" s="966"/>
      <c r="AL220" s="966"/>
      <c r="AM220" s="966"/>
      <c r="AN220" s="966"/>
      <c r="AO220" s="966"/>
      <c r="AP220" s="967" t="s">
        <v>1419</v>
      </c>
      <c r="AQ220" s="968"/>
    </row>
    <row r="221" spans="4:46" ht="72" customHeight="1">
      <c r="D221" s="1">
        <v>96</v>
      </c>
      <c r="AB221" s="312">
        <v>1</v>
      </c>
      <c r="AC221" s="963" t="s">
        <v>1420</v>
      </c>
      <c r="AD221" s="963"/>
      <c r="AE221" s="963"/>
      <c r="AF221" s="963"/>
      <c r="AG221" s="963"/>
      <c r="AH221" s="963"/>
      <c r="AI221" s="963"/>
      <c r="AJ221" s="963"/>
      <c r="AK221" s="963"/>
      <c r="AL221" s="963"/>
      <c r="AM221" s="963"/>
      <c r="AN221" s="963"/>
      <c r="AO221" s="963"/>
      <c r="AP221" s="964"/>
      <c r="AQ221" s="964"/>
    </row>
    <row r="222" spans="4:46" ht="72" customHeight="1">
      <c r="D222" s="1">
        <v>96</v>
      </c>
      <c r="AB222" s="312">
        <v>2</v>
      </c>
      <c r="AC222" s="963" t="s">
        <v>1421</v>
      </c>
      <c r="AD222" s="963"/>
      <c r="AE222" s="963"/>
      <c r="AF222" s="963"/>
      <c r="AG222" s="963"/>
      <c r="AH222" s="963"/>
      <c r="AI222" s="963"/>
      <c r="AJ222" s="963"/>
      <c r="AK222" s="963"/>
      <c r="AL222" s="963"/>
      <c r="AM222" s="963"/>
      <c r="AN222" s="963"/>
      <c r="AO222" s="963"/>
      <c r="AP222" s="964"/>
      <c r="AQ222" s="964"/>
    </row>
    <row r="223" spans="4:46" ht="13.5" customHeight="1">
      <c r="D223" s="1">
        <v>18</v>
      </c>
      <c r="AB223" s="313" t="s">
        <v>632</v>
      </c>
      <c r="AC223" s="963" t="s">
        <v>1422</v>
      </c>
      <c r="AD223" s="963"/>
      <c r="AE223" s="963"/>
      <c r="AF223" s="963"/>
      <c r="AG223" s="963"/>
      <c r="AH223" s="963"/>
      <c r="AI223" s="963"/>
      <c r="AJ223" s="963"/>
      <c r="AK223" s="963"/>
      <c r="AL223" s="963"/>
      <c r="AM223" s="963"/>
      <c r="AN223" s="963"/>
      <c r="AO223" s="963"/>
      <c r="AP223" s="964"/>
      <c r="AQ223" s="964"/>
    </row>
    <row r="224" spans="4:46" ht="13.5" customHeight="1">
      <c r="D224" s="1">
        <v>18</v>
      </c>
      <c r="AB224" s="313" t="s">
        <v>762</v>
      </c>
      <c r="AC224" s="963" t="s">
        <v>1423</v>
      </c>
      <c r="AD224" s="963"/>
      <c r="AE224" s="963"/>
      <c r="AF224" s="963"/>
      <c r="AG224" s="963"/>
      <c r="AH224" s="963"/>
      <c r="AI224" s="963"/>
      <c r="AJ224" s="963"/>
      <c r="AK224" s="963"/>
      <c r="AL224" s="963"/>
      <c r="AM224" s="963"/>
      <c r="AN224" s="963"/>
      <c r="AO224" s="963"/>
      <c r="AP224" s="964"/>
      <c r="AQ224" s="964"/>
    </row>
    <row r="225" spans="4:46" ht="13.5" customHeight="1">
      <c r="D225" s="1">
        <v>18</v>
      </c>
      <c r="AB225" s="313" t="s">
        <v>763</v>
      </c>
      <c r="AC225" s="963" t="s">
        <v>1424</v>
      </c>
      <c r="AD225" s="963"/>
      <c r="AE225" s="963"/>
      <c r="AF225" s="963"/>
      <c r="AG225" s="963"/>
      <c r="AH225" s="963"/>
      <c r="AI225" s="963"/>
      <c r="AJ225" s="963"/>
      <c r="AK225" s="963"/>
      <c r="AL225" s="963"/>
      <c r="AM225" s="963"/>
      <c r="AN225" s="963"/>
      <c r="AO225" s="963"/>
      <c r="AP225" s="964"/>
      <c r="AQ225" s="964"/>
    </row>
    <row r="226" spans="4:46" ht="13.5" customHeight="1">
      <c r="D226" s="1">
        <v>18</v>
      </c>
      <c r="AB226" s="313" t="s">
        <v>765</v>
      </c>
      <c r="AC226" s="963" t="s">
        <v>1425</v>
      </c>
      <c r="AD226" s="963"/>
      <c r="AE226" s="963"/>
      <c r="AF226" s="963"/>
      <c r="AG226" s="963"/>
      <c r="AH226" s="963"/>
      <c r="AI226" s="963"/>
      <c r="AJ226" s="963"/>
      <c r="AK226" s="963"/>
      <c r="AL226" s="963"/>
      <c r="AM226" s="963"/>
      <c r="AN226" s="963"/>
      <c r="AO226" s="963"/>
      <c r="AP226" s="964"/>
      <c r="AQ226" s="964"/>
    </row>
    <row r="227" spans="4:46" ht="13.5" customHeight="1">
      <c r="D227" s="1">
        <v>18</v>
      </c>
      <c r="AB227" s="312">
        <v>3</v>
      </c>
      <c r="AC227" s="963" t="s">
        <v>1426</v>
      </c>
      <c r="AD227" s="963"/>
      <c r="AE227" s="963"/>
      <c r="AF227" s="963"/>
      <c r="AG227" s="963"/>
      <c r="AH227" s="963"/>
      <c r="AI227" s="963"/>
      <c r="AJ227" s="963"/>
      <c r="AK227" s="963"/>
      <c r="AL227" s="963"/>
      <c r="AM227" s="963"/>
      <c r="AN227" s="963"/>
      <c r="AO227" s="963"/>
      <c r="AP227" s="964"/>
      <c r="AQ227" s="964"/>
    </row>
    <row r="228" spans="4:46" ht="13.5" customHeight="1">
      <c r="D228" s="1">
        <v>18</v>
      </c>
      <c r="AB228" s="312">
        <v>4</v>
      </c>
      <c r="AC228" s="963" t="s">
        <v>1427</v>
      </c>
      <c r="AD228" s="963"/>
      <c r="AE228" s="963"/>
      <c r="AF228" s="963"/>
      <c r="AG228" s="963"/>
      <c r="AH228" s="963"/>
      <c r="AI228" s="963"/>
      <c r="AJ228" s="963"/>
      <c r="AK228" s="963"/>
      <c r="AL228" s="963"/>
      <c r="AM228" s="963"/>
      <c r="AN228" s="963"/>
      <c r="AO228" s="963"/>
      <c r="AP228" s="964" t="str">
        <f>Титульный!AC62</f>
        <v>8-(388-22)-6-22-93</v>
      </c>
      <c r="AQ228" s="963"/>
    </row>
    <row r="229" spans="4:46" ht="13.5" customHeight="1">
      <c r="D229" s="1">
        <v>18</v>
      </c>
      <c r="AB229" s="312">
        <v>5</v>
      </c>
      <c r="AC229" s="963" t="s">
        <v>1428</v>
      </c>
      <c r="AD229" s="963"/>
      <c r="AE229" s="963"/>
      <c r="AF229" s="963"/>
      <c r="AG229" s="963"/>
      <c r="AH229" s="963"/>
      <c r="AI229" s="963"/>
      <c r="AJ229" s="963"/>
      <c r="AK229" s="963"/>
      <c r="AL229" s="963"/>
      <c r="AM229" s="963"/>
      <c r="AN229" s="963"/>
      <c r="AO229" s="963"/>
      <c r="AP229" s="969" t="str">
        <f>Титульный!AC64</f>
        <v>http://www.g-ages.ru</v>
      </c>
      <c r="AQ229" s="963"/>
    </row>
    <row r="230" spans="4:46" ht="13.5" customHeight="1">
      <c r="D230" s="1">
        <v>18</v>
      </c>
    </row>
    <row r="231" spans="4:46" ht="33.75" customHeight="1">
      <c r="D231" s="1">
        <v>45</v>
      </c>
      <c r="AB231" s="958" t="str">
        <f>"2.3 Анализ основных технико-экономических показателей "&amp;AG27</f>
        <v>2.3 Анализ основных технико-экономических показателей МУП "Горэлектросети"</v>
      </c>
      <c r="AC231" s="781"/>
      <c r="AD231" s="781"/>
      <c r="AE231" s="781"/>
      <c r="AF231" s="781"/>
      <c r="AG231" s="781"/>
      <c r="AH231" s="781"/>
      <c r="AI231" s="781"/>
      <c r="AJ231" s="781"/>
      <c r="AK231" s="781"/>
      <c r="AL231" s="781"/>
      <c r="AM231" s="781"/>
      <c r="AN231" s="781"/>
      <c r="AO231" s="781"/>
      <c r="AP231" s="781"/>
      <c r="AQ231" s="781"/>
    </row>
    <row r="232" spans="4:46" ht="17.25" customHeight="1">
      <c r="D232" s="1">
        <v>23</v>
      </c>
      <c r="AB232" s="892" t="str">
        <f>"Экспертами проведён анализ основных технико-экономических показателей "&amp;AG27&amp;" за 2 предшествующих года, текущий год и расчётный период регулирования. "</f>
        <v xml:space="preserve">Экспертами проведён анализ основных технико-экономических показателей МУП "Горэлектросети" за 2 предшествующих года, текущий год и расчётный период регулирования. </v>
      </c>
      <c r="AC232" s="781"/>
      <c r="AD232" s="781"/>
      <c r="AE232" s="781"/>
      <c r="AF232" s="781"/>
      <c r="AG232" s="781"/>
      <c r="AH232" s="781"/>
      <c r="AI232" s="781"/>
      <c r="AJ232" s="781"/>
      <c r="AK232" s="781"/>
      <c r="AL232" s="781"/>
      <c r="AM232" s="781"/>
      <c r="AN232" s="781"/>
      <c r="AO232" s="781"/>
      <c r="AP232" s="781"/>
      <c r="AQ232" s="781"/>
      <c r="AR232" s="781"/>
      <c r="AS232" s="781"/>
      <c r="AT232" s="781"/>
    </row>
    <row r="233" spans="4:46" ht="21" customHeight="1">
      <c r="D233" s="1">
        <v>28</v>
      </c>
      <c r="AB233" s="892" t="s">
        <v>1429</v>
      </c>
      <c r="AC233" s="781"/>
      <c r="AD233" s="781"/>
      <c r="AE233" s="781"/>
      <c r="AF233" s="781"/>
      <c r="AG233" s="781"/>
      <c r="AH233" s="781"/>
      <c r="AI233" s="781"/>
      <c r="AJ233" s="781"/>
      <c r="AK233" s="781"/>
      <c r="AL233" s="781"/>
      <c r="AM233" s="781"/>
      <c r="AN233" s="781"/>
      <c r="AO233" s="781"/>
      <c r="AP233" s="781"/>
      <c r="AQ233" s="781"/>
      <c r="AR233" s="781"/>
      <c r="AS233" s="781"/>
      <c r="AT233" s="781"/>
    </row>
    <row r="234" spans="4:46" ht="21" customHeight="1">
      <c r="D234" s="1">
        <v>28</v>
      </c>
      <c r="AB234" s="892" t="str">
        <f>"На "&amp;PRD&amp;" год в ведение "&amp;Титульный!AC27&amp;" заявлено оборудование:"</f>
        <v>На 2026 год в ведение МУП "Горэлектросети" заявлено оборудование:</v>
      </c>
      <c r="AC234" s="781"/>
      <c r="AD234" s="781"/>
      <c r="AE234" s="781"/>
      <c r="AF234" s="781"/>
      <c r="AG234" s="781"/>
      <c r="AH234" s="781"/>
      <c r="AI234" s="781"/>
      <c r="AJ234" s="781"/>
      <c r="AK234" s="781"/>
      <c r="AL234" s="781"/>
      <c r="AM234" s="781"/>
      <c r="AN234" s="781"/>
      <c r="AO234" s="781"/>
      <c r="AP234" s="781"/>
      <c r="AQ234" s="781"/>
      <c r="AR234" s="781"/>
      <c r="AS234" s="781"/>
      <c r="AT234" s="781"/>
    </row>
    <row r="235" spans="4:46" ht="21" customHeight="1">
      <c r="D235" s="1">
        <v>28</v>
      </c>
      <c r="AB235" s="892" t="s">
        <v>1430</v>
      </c>
      <c r="AC235" s="781"/>
      <c r="AD235" s="781"/>
      <c r="AE235" s="781"/>
      <c r="AF235" s="781"/>
      <c r="AG235" s="781"/>
      <c r="AH235" s="781"/>
      <c r="AI235" s="931"/>
      <c r="AJ235" s="965" t="e">
        <f>#REF!</f>
        <v>#REF!</v>
      </c>
      <c r="AK235" s="963"/>
    </row>
    <row r="236" spans="4:46" ht="21" customHeight="1">
      <c r="D236" s="1">
        <v>28</v>
      </c>
      <c r="AB236" s="892" t="s">
        <v>1431</v>
      </c>
      <c r="AC236" s="781"/>
      <c r="AD236" s="781"/>
      <c r="AE236" s="781"/>
      <c r="AF236" s="781"/>
      <c r="AG236" s="781"/>
      <c r="AH236" s="781"/>
      <c r="AI236" s="931"/>
      <c r="AJ236" s="965" t="e">
        <f>#REF!</f>
        <v>#REF!</v>
      </c>
      <c r="AK236" s="963"/>
    </row>
    <row r="237" spans="4:46" ht="21" customHeight="1">
      <c r="D237" s="1">
        <v>28</v>
      </c>
      <c r="AB237" s="892" t="s">
        <v>1422</v>
      </c>
      <c r="AC237" s="781"/>
      <c r="AD237" s="781"/>
      <c r="AE237" s="781"/>
      <c r="AF237" s="781"/>
      <c r="AG237" s="781"/>
      <c r="AH237" s="781"/>
      <c r="AI237" s="931"/>
      <c r="AJ237" s="965" t="e">
        <f>#REF!</f>
        <v>#REF!</v>
      </c>
      <c r="AK237" s="963"/>
    </row>
    <row r="238" spans="4:46" ht="21" customHeight="1">
      <c r="D238" s="1">
        <v>28</v>
      </c>
      <c r="AB238" s="892" t="s">
        <v>1432</v>
      </c>
      <c r="AC238" s="781"/>
      <c r="AD238" s="781"/>
      <c r="AE238" s="781"/>
      <c r="AF238" s="781"/>
      <c r="AG238" s="781"/>
      <c r="AH238" s="781"/>
      <c r="AI238" s="931"/>
      <c r="AJ238" s="965" t="e">
        <f>#REF!</f>
        <v>#REF!</v>
      </c>
      <c r="AK238" s="963"/>
    </row>
    <row r="239" spans="4:46" ht="21" customHeight="1">
      <c r="D239" s="1">
        <v>28</v>
      </c>
      <c r="AB239" s="892" t="s">
        <v>1424</v>
      </c>
      <c r="AC239" s="781"/>
      <c r="AD239" s="781"/>
      <c r="AE239" s="781"/>
      <c r="AF239" s="781"/>
      <c r="AG239" s="781"/>
      <c r="AH239" s="781"/>
      <c r="AI239" s="931"/>
      <c r="AJ239" s="965" t="e">
        <f>#REF!</f>
        <v>#REF!</v>
      </c>
      <c r="AK239" s="963"/>
    </row>
    <row r="240" spans="4:46" ht="21" customHeight="1">
      <c r="D240" s="1">
        <v>28</v>
      </c>
      <c r="AB240" s="892" t="s">
        <v>1425</v>
      </c>
      <c r="AC240" s="781"/>
      <c r="AD240" s="781"/>
      <c r="AE240" s="781"/>
      <c r="AF240" s="781"/>
      <c r="AG240" s="781"/>
      <c r="AH240" s="781"/>
      <c r="AI240" s="931"/>
      <c r="AJ240" s="965" t="e">
        <f>#REF!</f>
        <v>#REF!</v>
      </c>
      <c r="AK240" s="963"/>
    </row>
    <row r="241" spans="4:44" ht="21" customHeight="1">
      <c r="D241" s="1">
        <v>28</v>
      </c>
      <c r="AB241" s="896" t="e">
        <f>"Предприятием предложено к рассмотрению на "&amp;PRD&amp;" год количество условных единиц оборудования в размере: "&amp;ROUND(#REF!,2)</f>
        <v>#REF!</v>
      </c>
      <c r="AC241" s="896"/>
      <c r="AD241" s="896"/>
      <c r="AE241" s="896"/>
      <c r="AF241" s="896"/>
      <c r="AG241" s="896"/>
      <c r="AH241" s="896"/>
      <c r="AI241" s="896"/>
      <c r="AJ241" s="896"/>
    </row>
    <row r="242" spans="4:44" ht="21" customHeight="1">
      <c r="D242" s="1">
        <v>28</v>
      </c>
      <c r="AB242" s="896" t="e">
        <f>"При этом количество утвержденных условных едениц в "&amp;PRD-1&amp;" году составило "&amp;ROUND(#REF!,2)&amp;" а в "&amp;PRD-2&amp;" году "&amp;ROUND(#REF!,2)&amp;" УЕ"</f>
        <v>#REF!</v>
      </c>
      <c r="AC242" s="896"/>
      <c r="AD242" s="896"/>
      <c r="AE242" s="896"/>
      <c r="AF242" s="896"/>
      <c r="AG242" s="896"/>
      <c r="AH242" s="896"/>
      <c r="AI242" s="896"/>
      <c r="AJ242" s="896"/>
      <c r="AK242" s="896"/>
    </row>
    <row r="243" spans="4:44" ht="36" customHeight="1">
      <c r="D243" s="1">
        <v>48</v>
      </c>
      <c r="AB243" s="892" t="e">
        <f>IF(#REF!=#REF!,"Состав оборудования "&amp;AG27&amp;" на "&amp;PRD&amp;" год не изменён по сравнению с "&amp;PRD-1&amp;" годом","Состав оборудования "&amp;AG27&amp;" на "&amp;PRD&amp;" год изменён по сравнению с "&amp;PRD-1&amp;" годом в связи с ")</f>
        <v>#REF!</v>
      </c>
      <c r="AC243" s="781"/>
      <c r="AD243" s="781"/>
      <c r="AE243" s="781"/>
      <c r="AF243" s="781"/>
      <c r="AG243" s="781"/>
      <c r="AH243" s="781"/>
      <c r="AI243" s="781"/>
      <c r="AJ243" s="977"/>
      <c r="AK243" s="978"/>
      <c r="AL243" s="978"/>
      <c r="AM243" s="978"/>
      <c r="AN243" s="978"/>
      <c r="AO243" s="978"/>
      <c r="AP243" s="978"/>
      <c r="AQ243" s="978"/>
      <c r="AR243" s="979"/>
    </row>
    <row r="244" spans="4:44" ht="24" customHeight="1">
      <c r="D244" s="1">
        <v>32</v>
      </c>
      <c r="AB244" s="896" t="e">
        <f>"Количество условных единиц на "&amp;PRD&amp;" год приняты экспертами в количестве : "&amp;ROUND(#REF!,2)</f>
        <v>#REF!</v>
      </c>
      <c r="AC244" s="896"/>
      <c r="AD244" s="896"/>
      <c r="AE244" s="896"/>
      <c r="AF244" s="896"/>
      <c r="AG244" s="896"/>
      <c r="AH244" s="896"/>
      <c r="AI244" s="896"/>
      <c r="AJ244" s="896"/>
      <c r="AK244" s="896"/>
      <c r="AL244" s="896"/>
      <c r="AM244" s="896"/>
      <c r="AN244" s="896"/>
      <c r="AO244" s="896"/>
      <c r="AP244" s="896"/>
      <c r="AQ244" s="896"/>
    </row>
    <row r="245" spans="4:44" ht="24" customHeight="1">
      <c r="D245" s="1">
        <v>32</v>
      </c>
      <c r="AB245" s="896" t="s">
        <v>1433</v>
      </c>
      <c r="AC245" s="896"/>
      <c r="AD245" s="896"/>
      <c r="AE245" s="896"/>
      <c r="AF245" s="896"/>
      <c r="AG245" s="896"/>
      <c r="AH245" s="896"/>
      <c r="AI245" s="896"/>
      <c r="AJ245" s="896"/>
      <c r="AK245" s="896"/>
      <c r="AL245" s="896"/>
      <c r="AM245" s="896"/>
      <c r="AN245" s="896"/>
      <c r="AO245" s="896"/>
      <c r="AP245" s="896"/>
      <c r="AQ245" s="896"/>
    </row>
    <row r="246" spans="4:44" ht="24" customHeight="1">
      <c r="D246" s="1">
        <v>32</v>
      </c>
      <c r="AB246" s="896" t="e">
        <f>"Исходя из анализа представленных документов, экспертами сделан вывод, что имущественный комплекс "&amp;AG27&amp;" находится в "&amp;IF(#REF!&gt;0,"собственности","")&amp;" "&amp;IF(#REF!&gt;0,", частично в аренде","")&amp;IF(#REF!&gt;0,"и в лизинге","")&amp;"и характеризуется следующими показателями:"</f>
        <v>#REF!</v>
      </c>
      <c r="AC246" s="896"/>
      <c r="AD246" s="896"/>
      <c r="AE246" s="896"/>
      <c r="AF246" s="896"/>
      <c r="AG246" s="896"/>
      <c r="AH246" s="896"/>
      <c r="AI246" s="896"/>
      <c r="AJ246" s="896"/>
      <c r="AK246" s="896"/>
      <c r="AL246" s="896"/>
      <c r="AM246" s="896"/>
      <c r="AN246" s="896"/>
      <c r="AO246" s="896"/>
      <c r="AP246" s="896"/>
      <c r="AQ246" s="896"/>
    </row>
    <row r="247" spans="4:44" ht="21" customHeight="1">
      <c r="D247" s="1">
        <v>28</v>
      </c>
      <c r="AB247" s="781"/>
      <c r="AC247" s="781"/>
      <c r="AD247" s="781"/>
      <c r="AE247" s="781"/>
      <c r="AF247" s="781"/>
      <c r="AG247" s="781"/>
      <c r="AH247" s="781"/>
      <c r="AI247" s="781"/>
      <c r="AJ247" s="781"/>
      <c r="AK247" s="781"/>
    </row>
    <row r="248" spans="4:44" ht="31.5" customHeight="1">
      <c r="D248" s="1">
        <v>42</v>
      </c>
      <c r="AB248" s="314" t="s">
        <v>509</v>
      </c>
      <c r="AC248" s="980" t="s">
        <v>608</v>
      </c>
      <c r="AD248" s="981"/>
      <c r="AE248" s="315" t="s">
        <v>175</v>
      </c>
      <c r="AF248" s="316" t="s">
        <v>900</v>
      </c>
      <c r="AG248" s="316" t="s">
        <v>901</v>
      </c>
      <c r="AH248" s="316" t="s">
        <v>194</v>
      </c>
      <c r="AI248" s="316" t="s">
        <v>899</v>
      </c>
    </row>
    <row r="249" spans="4:44" ht="21" customHeight="1">
      <c r="D249" s="1">
        <v>28</v>
      </c>
      <c r="AB249" s="317" t="s">
        <v>532</v>
      </c>
      <c r="AC249" s="982" t="s">
        <v>911</v>
      </c>
      <c r="AD249" s="983"/>
      <c r="AE249" s="984"/>
      <c r="AF249" s="985"/>
      <c r="AG249" s="318"/>
      <c r="AH249" s="319"/>
      <c r="AI249" s="319"/>
    </row>
    <row r="250" spans="4:44" ht="37.5" customHeight="1">
      <c r="D250" s="1">
        <v>50</v>
      </c>
      <c r="AB250" s="320" t="s">
        <v>637</v>
      </c>
      <c r="AC250" s="976" t="e">
        <f>"Утверждено "&amp;#REF!</f>
        <v>#REF!</v>
      </c>
      <c r="AD250" s="976"/>
      <c r="AE250" s="321" t="e">
        <f>#REF!</f>
        <v>#REF!</v>
      </c>
      <c r="AF250" s="321" t="e">
        <f>#REF!</f>
        <v>#REF!</v>
      </c>
      <c r="AG250" s="321" t="e">
        <f>#REF!</f>
        <v>#REF!</v>
      </c>
      <c r="AH250" s="321" t="e">
        <f>#REF!</f>
        <v>#REF!</v>
      </c>
      <c r="AI250" s="321" t="e">
        <f>#REF!</f>
        <v>#REF!</v>
      </c>
    </row>
    <row r="251" spans="4:44" ht="33.75" customHeight="1">
      <c r="D251" s="1">
        <v>45</v>
      </c>
      <c r="AB251" s="320" t="s">
        <v>642</v>
      </c>
      <c r="AC251" s="976" t="e">
        <f>#REF!&amp;" "&amp;#REF!</f>
        <v>#REF!</v>
      </c>
      <c r="AD251" s="976"/>
      <c r="AE251" s="321" t="e">
        <f>#REF!</f>
        <v>#REF!</v>
      </c>
      <c r="AF251" s="321" t="e">
        <f>#REF!</f>
        <v>#REF!</v>
      </c>
      <c r="AG251" s="321" t="e">
        <f>#REF!</f>
        <v>#REF!</v>
      </c>
      <c r="AH251" s="321" t="e">
        <f>#REF!</f>
        <v>#REF!</v>
      </c>
      <c r="AI251" s="321" t="e">
        <f>#REF!</f>
        <v>#REF!</v>
      </c>
    </row>
    <row r="252" spans="4:44" ht="33.75" customHeight="1">
      <c r="D252" s="1">
        <v>45</v>
      </c>
      <c r="AB252" s="320" t="s">
        <v>647</v>
      </c>
      <c r="AC252" s="976" t="e">
        <f>"Утверждено "&amp;#REF!</f>
        <v>#REF!</v>
      </c>
      <c r="AD252" s="976"/>
      <c r="AE252" s="321" t="e">
        <f>#REF!</f>
        <v>#REF!</v>
      </c>
      <c r="AF252" s="321" t="e">
        <f>#REF!</f>
        <v>#REF!</v>
      </c>
      <c r="AG252" s="321" t="e">
        <f>#REF!</f>
        <v>#REF!</v>
      </c>
      <c r="AH252" s="321" t="e">
        <f>#REF!</f>
        <v>#REF!</v>
      </c>
      <c r="AI252" s="321" t="e">
        <f>#REF!</f>
        <v>#REF!</v>
      </c>
    </row>
    <row r="253" spans="4:44" ht="33.75" customHeight="1">
      <c r="D253" s="1">
        <v>45</v>
      </c>
      <c r="AB253" s="320" t="s">
        <v>652</v>
      </c>
      <c r="AC253" s="976" t="e">
        <f>#REF!&amp;" "&amp;#REF!</f>
        <v>#REF!</v>
      </c>
      <c r="AD253" s="976"/>
      <c r="AE253" s="321" t="e">
        <f>#REF!</f>
        <v>#REF!</v>
      </c>
      <c r="AF253" s="321" t="e">
        <f>#REF!</f>
        <v>#REF!</v>
      </c>
      <c r="AG253" s="321" t="e">
        <f>#REF!</f>
        <v>#REF!</v>
      </c>
      <c r="AH253" s="321" t="e">
        <f>#REF!</f>
        <v>#REF!</v>
      </c>
      <c r="AI253" s="321" t="e">
        <f>#REF!</f>
        <v>#REF!</v>
      </c>
    </row>
    <row r="254" spans="4:44" ht="33.75" customHeight="1">
      <c r="D254" s="1">
        <v>45</v>
      </c>
      <c r="AB254" s="320" t="s">
        <v>912</v>
      </c>
      <c r="AC254" s="976" t="e">
        <f>"Утверждено "&amp;#REF!</f>
        <v>#REF!</v>
      </c>
      <c r="AD254" s="976"/>
      <c r="AE254" s="321" t="e">
        <f>#REF!</f>
        <v>#REF!</v>
      </c>
      <c r="AF254" s="321" t="e">
        <f>#REF!</f>
        <v>#REF!</v>
      </c>
      <c r="AG254" s="321" t="e">
        <f>#REF!</f>
        <v>#REF!</v>
      </c>
      <c r="AH254" s="321" t="e">
        <f>#REF!</f>
        <v>#REF!</v>
      </c>
      <c r="AI254" s="321" t="e">
        <f>#REF!</f>
        <v>#REF!</v>
      </c>
    </row>
    <row r="255" spans="4:44" ht="33.75" customHeight="1">
      <c r="D255" s="1">
        <v>45</v>
      </c>
      <c r="AB255" s="320" t="s">
        <v>913</v>
      </c>
      <c r="AC255" s="976" t="e">
        <f>#REF!&amp;" "&amp;#REF!</f>
        <v>#REF!</v>
      </c>
      <c r="AD255" s="976"/>
      <c r="AE255" s="321" t="e">
        <f>#REF!</f>
        <v>#REF!</v>
      </c>
      <c r="AF255" s="321" t="e">
        <f>#REF!</f>
        <v>#REF!</v>
      </c>
      <c r="AG255" s="321" t="e">
        <f>#REF!</f>
        <v>#REF!</v>
      </c>
      <c r="AH255" s="321" t="e">
        <f>#REF!</f>
        <v>#REF!</v>
      </c>
      <c r="AI255" s="321" t="e">
        <f>#REF!</f>
        <v>#REF!</v>
      </c>
    </row>
    <row r="256" spans="4:44" ht="33.75" customHeight="1">
      <c r="D256" s="1">
        <v>45</v>
      </c>
      <c r="AB256" s="320" t="s">
        <v>914</v>
      </c>
      <c r="AC256" s="903" t="str">
        <f>PRD&amp;",  Версия регулятора "</f>
        <v xml:space="preserve">2026,  Версия регулятора </v>
      </c>
      <c r="AD256" s="903"/>
      <c r="AE256" s="321" t="e">
        <f>#REF!</f>
        <v>#REF!</v>
      </c>
      <c r="AF256" s="321" t="e">
        <f>#REF!</f>
        <v>#REF!</v>
      </c>
      <c r="AG256" s="321" t="e">
        <f>#REF!</f>
        <v>#REF!</v>
      </c>
      <c r="AH256" s="321" t="e">
        <f>#REF!</f>
        <v>#REF!</v>
      </c>
      <c r="AI256" s="321" t="e">
        <f>#REF!</f>
        <v>#REF!</v>
      </c>
    </row>
    <row r="257" spans="4:46" ht="24" customHeight="1">
      <c r="D257" s="1">
        <v>32</v>
      </c>
      <c r="AB257" s="781"/>
      <c r="AC257" s="781"/>
      <c r="AD257" s="781"/>
      <c r="AE257" s="781"/>
      <c r="AF257" s="781"/>
      <c r="AG257" s="781"/>
      <c r="AH257" s="781"/>
      <c r="AI257" s="781"/>
      <c r="AJ257" s="781"/>
      <c r="AK257" s="781"/>
      <c r="AL257" s="781"/>
      <c r="AM257" s="781"/>
      <c r="AN257" s="781"/>
      <c r="AO257" s="781"/>
      <c r="AP257" s="781"/>
      <c r="AQ257" s="781"/>
    </row>
    <row r="258" spans="4:46" ht="24" customHeight="1">
      <c r="D258" s="1">
        <v>32</v>
      </c>
      <c r="AB258" s="896" t="e">
        <f>"Количество условных единиц на "&amp;PRD&amp;" год по сравнению с утверждённым на "&amp;PRD-1&amp;" год  изменилось на "&amp;IF(AI254=0,0,ROUND(AI256/AI254,2))&amp;" % ("&amp;ROUND(AI256-AI254,2)&amp;" УЕ). "</f>
        <v>#REF!</v>
      </c>
      <c r="AC258" s="896"/>
      <c r="AD258" s="896"/>
      <c r="AE258" s="896"/>
      <c r="AF258" s="896"/>
      <c r="AG258" s="896"/>
      <c r="AH258" s="896"/>
      <c r="AI258" s="896"/>
      <c r="AJ258" s="896"/>
      <c r="AK258" s="896"/>
      <c r="AL258" s="896"/>
      <c r="AM258" s="896"/>
      <c r="AN258" s="896"/>
      <c r="AO258" s="896"/>
      <c r="AP258" s="896"/>
      <c r="AQ258" s="896"/>
    </row>
    <row r="259" spans="4:46" ht="24" customHeight="1">
      <c r="D259" s="1">
        <v>32</v>
      </c>
      <c r="AB259" s="892" t="s">
        <v>1434</v>
      </c>
      <c r="AC259" s="781"/>
      <c r="AD259" s="781"/>
      <c r="AE259" s="781"/>
      <c r="AF259" s="781"/>
      <c r="AG259" s="781"/>
      <c r="AH259" s="781"/>
      <c r="AI259" s="781"/>
      <c r="AJ259" s="781"/>
      <c r="AK259" s="781"/>
      <c r="AL259" s="781"/>
      <c r="AM259" s="781"/>
      <c r="AN259" s="781"/>
      <c r="AO259" s="781"/>
      <c r="AP259" s="781"/>
      <c r="AQ259" s="781"/>
    </row>
    <row r="260" spans="4:46" ht="41.25" customHeight="1">
      <c r="D260" s="1">
        <v>55</v>
      </c>
      <c r="AB260" s="912"/>
      <c r="AC260" s="913"/>
      <c r="AD260" s="913"/>
      <c r="AE260" s="913"/>
      <c r="AF260" s="913"/>
      <c r="AG260" s="913"/>
      <c r="AH260" s="913"/>
      <c r="AI260" s="913"/>
      <c r="AJ260" s="913"/>
      <c r="AK260" s="913"/>
      <c r="AL260" s="913"/>
      <c r="AM260" s="913"/>
      <c r="AN260" s="913"/>
      <c r="AO260" s="913"/>
      <c r="AP260" s="913"/>
      <c r="AQ260" s="913"/>
      <c r="AR260" s="913"/>
      <c r="AS260" s="913"/>
      <c r="AT260" s="990"/>
    </row>
    <row r="261" spans="4:46" ht="33" customHeight="1">
      <c r="D261" s="1">
        <v>44</v>
      </c>
      <c r="AB261" s="991" t="e">
        <f>"Оценка объёмов передачи электрической энергии по сетям "&amp;AG27&amp;", показала обоснованность включения в расчёт тарифа на "&amp;PRD&amp;" год объём полезного отпуска электрической энергии в размере "&amp;ROUND(#REF!,2)&amp;"  млн. кВтч в год."</f>
        <v>#REF!</v>
      </c>
      <c r="AC261" s="991"/>
      <c r="AD261" s="991"/>
      <c r="AE261" s="991"/>
      <c r="AF261" s="991"/>
      <c r="AG261" s="991"/>
      <c r="AH261" s="991"/>
      <c r="AI261" s="991"/>
      <c r="AJ261" s="991"/>
      <c r="AK261" s="991"/>
      <c r="AL261" s="991"/>
      <c r="AM261" s="991"/>
      <c r="AN261" s="991"/>
      <c r="AO261" s="991"/>
      <c r="AP261" s="991"/>
      <c r="AQ261" s="991"/>
      <c r="AR261" s="991"/>
      <c r="AS261" s="991"/>
      <c r="AT261" s="991"/>
    </row>
    <row r="262" spans="4:46" ht="35.25" customHeight="1">
      <c r="D262" s="1">
        <v>47</v>
      </c>
      <c r="AB262" s="896"/>
      <c r="AC262" s="896"/>
      <c r="AD262" s="896"/>
      <c r="AE262" s="896"/>
      <c r="AF262" s="896"/>
      <c r="AG262" s="896"/>
      <c r="AH262" s="896"/>
      <c r="AI262" s="896"/>
      <c r="AJ262" s="896"/>
      <c r="AK262" s="896"/>
      <c r="AL262" s="896"/>
      <c r="AM262" s="896"/>
      <c r="AN262" s="896"/>
      <c r="AO262" s="896"/>
      <c r="AP262" s="896"/>
      <c r="AQ262" s="896"/>
      <c r="AR262" s="896"/>
      <c r="AS262" s="896"/>
      <c r="AT262" s="896"/>
    </row>
    <row r="263" spans="4:46" ht="35.25" customHeight="1">
      <c r="D263" s="1">
        <v>47</v>
      </c>
      <c r="AB263" s="892" t="str">
        <f>"В расчёт тарифов на услуги по передаче электрической энергии по сетям "&amp;AG27&amp;" эксперты приняли балансовые показатели с учётом фактических показателей "&amp;PRD-2&amp;" года, ожидаемых показателей  "&amp;PRD-1&amp;" год и плана на "&amp;PRD&amp;" год "</f>
        <v xml:space="preserve">В расчёт тарифов на услуги по передаче электрической энергии по сетям МУП "Горэлектросети" эксперты приняли балансовые показатели с учётом фактических показателей 2024 года, ожидаемых показателей  2025 год и плана на 2026 год </v>
      </c>
      <c r="AC263" s="781"/>
      <c r="AD263" s="781"/>
      <c r="AE263" s="781"/>
      <c r="AF263" s="781"/>
      <c r="AG263" s="781"/>
      <c r="AH263" s="781"/>
      <c r="AI263" s="781"/>
      <c r="AJ263" s="781"/>
      <c r="AK263" s="781"/>
      <c r="AL263" s="781"/>
      <c r="AM263" s="781"/>
      <c r="AN263" s="781"/>
      <c r="AO263" s="781"/>
      <c r="AP263" s="781"/>
      <c r="AQ263" s="781"/>
    </row>
    <row r="264" spans="4:46" ht="24" customHeight="1">
      <c r="D264" s="1">
        <v>32</v>
      </c>
      <c r="AB264" s="914"/>
      <c r="AC264" s="915"/>
      <c r="AD264" s="916"/>
      <c r="AE264" s="988" t="s">
        <v>1435</v>
      </c>
      <c r="AF264" s="322" t="e">
        <f>#REF!</f>
        <v>#REF!</v>
      </c>
      <c r="AG264" s="322" t="e">
        <f>#REF!</f>
        <v>#REF!</v>
      </c>
      <c r="AH264" s="322" t="e">
        <f>#REF!</f>
        <v>#REF!</v>
      </c>
      <c r="AI264" s="322" t="e">
        <f>#REF!</f>
        <v>#REF!</v>
      </c>
      <c r="AJ264" s="322" t="e">
        <f>#REF!</f>
        <v>#REF!</v>
      </c>
      <c r="AK264" s="322" t="e">
        <f>#REF!</f>
        <v>#REF!</v>
      </c>
      <c r="AL264" s="322" t="e">
        <f>#REF!</f>
        <v>#REF!</v>
      </c>
      <c r="AM264" s="322" t="e">
        <f>#REF!</f>
        <v>#REF!</v>
      </c>
    </row>
    <row r="265" spans="4:46" ht="31.5" customHeight="1">
      <c r="D265" s="1">
        <v>42</v>
      </c>
      <c r="AB265" s="917"/>
      <c r="AC265" s="918"/>
      <c r="AD265" s="919"/>
      <c r="AE265" s="989"/>
      <c r="AF265" s="312" t="s">
        <v>757</v>
      </c>
      <c r="AG265" s="312" t="s">
        <v>753</v>
      </c>
      <c r="AH265" s="312" t="s">
        <v>757</v>
      </c>
      <c r="AI265" s="312" t="s">
        <v>753</v>
      </c>
      <c r="AJ265" s="312" t="s">
        <v>1436</v>
      </c>
      <c r="AK265" s="312" t="s">
        <v>1437</v>
      </c>
      <c r="AL265" s="312" t="s">
        <v>1438</v>
      </c>
      <c r="AM265" s="312" t="s">
        <v>1439</v>
      </c>
    </row>
    <row r="266" spans="4:46" ht="35.25" customHeight="1">
      <c r="D266" s="1">
        <v>47</v>
      </c>
      <c r="AB266" s="313" t="s">
        <v>528</v>
      </c>
      <c r="AC266" s="986" t="s">
        <v>1030</v>
      </c>
      <c r="AD266" s="986"/>
      <c r="AE266" s="312" t="s">
        <v>916</v>
      </c>
      <c r="AF266" s="324"/>
      <c r="AG266" s="324"/>
      <c r="AH266" s="321" t="e">
        <f>#REF!</f>
        <v>#REF!</v>
      </c>
      <c r="AI266" s="321" t="e">
        <f>#REF!</f>
        <v>#REF!</v>
      </c>
      <c r="AJ266" s="324" t="e">
        <f t="shared" ref="AJ266:AJ273" si="4">AI266</f>
        <v>#REF!</v>
      </c>
      <c r="AK266" s="321" t="e">
        <f>#REF!</f>
        <v>#REF!</v>
      </c>
      <c r="AL266" s="321" t="e">
        <f>#REF!</f>
        <v>#REF!</v>
      </c>
      <c r="AM266" s="321" t="e">
        <f>#REF!</f>
        <v>#REF!</v>
      </c>
    </row>
    <row r="267" spans="4:46" ht="33.75" customHeight="1">
      <c r="D267" s="1">
        <v>45</v>
      </c>
      <c r="AB267" s="313" t="s">
        <v>530</v>
      </c>
      <c r="AC267" s="986" t="s">
        <v>933</v>
      </c>
      <c r="AD267" s="986"/>
      <c r="AE267" s="312" t="s">
        <v>916</v>
      </c>
      <c r="AF267" s="324"/>
      <c r="AG267" s="324"/>
      <c r="AH267" s="321" t="e">
        <f>#REF!</f>
        <v>#REF!</v>
      </c>
      <c r="AI267" s="321" t="e">
        <f>#REF!</f>
        <v>#REF!</v>
      </c>
      <c r="AJ267" s="324" t="e">
        <f t="shared" si="4"/>
        <v>#REF!</v>
      </c>
      <c r="AK267" s="321" t="e">
        <f>#REF!</f>
        <v>#REF!</v>
      </c>
      <c r="AL267" s="321" t="e">
        <f>#REF!</f>
        <v>#REF!</v>
      </c>
      <c r="AM267" s="321" t="e">
        <f>#REF!</f>
        <v>#REF!</v>
      </c>
    </row>
    <row r="268" spans="4:46" ht="27" customHeight="1">
      <c r="D268" s="1">
        <v>36</v>
      </c>
      <c r="AB268" s="313"/>
      <c r="AC268" s="986" t="s">
        <v>934</v>
      </c>
      <c r="AD268" s="986"/>
      <c r="AE268" s="312" t="s">
        <v>633</v>
      </c>
      <c r="AF268" s="324"/>
      <c r="AG268" s="324"/>
      <c r="AH268" s="321" t="e">
        <f>#REF!</f>
        <v>#REF!</v>
      </c>
      <c r="AI268" s="321" t="e">
        <f>#REF!</f>
        <v>#REF!</v>
      </c>
      <c r="AJ268" s="324" t="e">
        <f t="shared" si="4"/>
        <v>#REF!</v>
      </c>
      <c r="AK268" s="321" t="e">
        <f>#REF!</f>
        <v>#REF!</v>
      </c>
      <c r="AL268" s="321" t="e">
        <f>#REF!</f>
        <v>#REF!</v>
      </c>
      <c r="AM268" s="321" t="e">
        <f>#REF!</f>
        <v>#REF!</v>
      </c>
    </row>
    <row r="269" spans="4:46" ht="31.5" customHeight="1">
      <c r="D269" s="1">
        <v>42</v>
      </c>
      <c r="AB269" s="313" t="s">
        <v>534</v>
      </c>
      <c r="AC269" s="986" t="s">
        <v>937</v>
      </c>
      <c r="AD269" s="986"/>
      <c r="AE269" s="312" t="s">
        <v>916</v>
      </c>
      <c r="AF269" s="324"/>
      <c r="AG269" s="324"/>
      <c r="AH269" s="321" t="e">
        <f>#REF!</f>
        <v>#REF!</v>
      </c>
      <c r="AI269" s="321" t="e">
        <f>#REF!</f>
        <v>#REF!</v>
      </c>
      <c r="AJ269" s="324" t="e">
        <f t="shared" si="4"/>
        <v>#REF!</v>
      </c>
      <c r="AK269" s="321" t="e">
        <f>#REF!</f>
        <v>#REF!</v>
      </c>
      <c r="AL269" s="321" t="e">
        <f>#REF!</f>
        <v>#REF!</v>
      </c>
      <c r="AM269" s="321" t="e">
        <f>#REF!</f>
        <v>#REF!</v>
      </c>
    </row>
    <row r="270" spans="4:46" ht="31.5" customHeight="1">
      <c r="D270" s="1">
        <v>42</v>
      </c>
      <c r="AB270" s="313" t="s">
        <v>528</v>
      </c>
      <c r="AC270" s="986" t="s">
        <v>1440</v>
      </c>
      <c r="AD270" s="986"/>
      <c r="AE270" s="312" t="s">
        <v>639</v>
      </c>
      <c r="AF270" s="324"/>
      <c r="AG270" s="324"/>
      <c r="AH270" s="321" t="e">
        <f>#REF!</f>
        <v>#REF!</v>
      </c>
      <c r="AI270" s="321" t="e">
        <f>#REF!</f>
        <v>#REF!</v>
      </c>
      <c r="AJ270" s="324" t="e">
        <f t="shared" si="4"/>
        <v>#REF!</v>
      </c>
      <c r="AK270" s="321" t="e">
        <f>#REF!</f>
        <v>#REF!</v>
      </c>
      <c r="AL270" s="321" t="e">
        <f>#REF!</f>
        <v>#REF!</v>
      </c>
      <c r="AM270" s="321" t="e">
        <f>#REF!</f>
        <v>#REF!</v>
      </c>
    </row>
    <row r="271" spans="4:46" ht="31.5" customHeight="1">
      <c r="D271" s="1">
        <v>42</v>
      </c>
      <c r="AB271" s="313" t="s">
        <v>530</v>
      </c>
      <c r="AC271" s="986" t="s">
        <v>938</v>
      </c>
      <c r="AD271" s="986"/>
      <c r="AE271" s="312" t="s">
        <v>639</v>
      </c>
      <c r="AF271" s="324"/>
      <c r="AG271" s="324"/>
      <c r="AH271" s="321" t="e">
        <f>#REF!</f>
        <v>#REF!</v>
      </c>
      <c r="AI271" s="321" t="e">
        <f>#REF!</f>
        <v>#REF!</v>
      </c>
      <c r="AJ271" s="324" t="e">
        <f t="shared" si="4"/>
        <v>#REF!</v>
      </c>
      <c r="AK271" s="321" t="e">
        <f>#REF!</f>
        <v>#REF!</v>
      </c>
      <c r="AL271" s="321" t="e">
        <f>#REF!</f>
        <v>#REF!</v>
      </c>
      <c r="AM271" s="321" t="e">
        <f>#REF!</f>
        <v>#REF!</v>
      </c>
    </row>
    <row r="272" spans="4:46" ht="31.5" customHeight="1">
      <c r="D272" s="1">
        <v>42</v>
      </c>
      <c r="AB272" s="313"/>
      <c r="AC272" s="986" t="s">
        <v>934</v>
      </c>
      <c r="AD272" s="986"/>
      <c r="AE272" s="312" t="s">
        <v>633</v>
      </c>
      <c r="AF272" s="324"/>
      <c r="AG272" s="324"/>
      <c r="AH272" s="321" t="e">
        <f>#REF!</f>
        <v>#REF!</v>
      </c>
      <c r="AI272" s="321" t="e">
        <f>#REF!</f>
        <v>#REF!</v>
      </c>
      <c r="AJ272" s="324" t="e">
        <f t="shared" si="4"/>
        <v>#REF!</v>
      </c>
      <c r="AK272" s="321" t="e">
        <f>#REF!</f>
        <v>#REF!</v>
      </c>
      <c r="AL272" s="321" t="e">
        <f>#REF!</f>
        <v>#REF!</v>
      </c>
      <c r="AM272" s="321" t="e">
        <f>#REF!</f>
        <v>#REF!</v>
      </c>
    </row>
    <row r="273" spans="4:43" ht="31.5" customHeight="1">
      <c r="D273" s="1">
        <v>42</v>
      </c>
      <c r="AB273" s="313" t="s">
        <v>534</v>
      </c>
      <c r="AC273" s="986" t="s">
        <v>937</v>
      </c>
      <c r="AD273" s="986"/>
      <c r="AE273" s="312" t="s">
        <v>639</v>
      </c>
      <c r="AF273" s="324"/>
      <c r="AG273" s="324"/>
      <c r="AH273" s="321" t="e">
        <f>#REF!</f>
        <v>#REF!</v>
      </c>
      <c r="AI273" s="321" t="e">
        <f>#REF!</f>
        <v>#REF!</v>
      </c>
      <c r="AJ273" s="324" t="e">
        <f t="shared" si="4"/>
        <v>#REF!</v>
      </c>
      <c r="AK273" s="321" t="e">
        <f>#REF!</f>
        <v>#REF!</v>
      </c>
      <c r="AL273" s="321" t="e">
        <f>#REF!</f>
        <v>#REF!</v>
      </c>
      <c r="AM273" s="321" t="e">
        <f>#REF!</f>
        <v>#REF!</v>
      </c>
    </row>
    <row r="274" spans="4:43" ht="33.75" customHeight="1">
      <c r="D274" s="1">
        <v>45</v>
      </c>
    </row>
    <row r="275" spans="4:43" ht="18" customHeight="1">
      <c r="D275" s="1">
        <v>24</v>
      </c>
      <c r="AB275" s="896" t="e">
        <f>"На "&amp;PRD&amp;" год поступление в сеть электроэнергии планируется "&amp;IF(AM266&gt;AK266,"с ростом ","со снижением")&amp;" по отношению к утверждённому поступлению в сеть на "&amp;PRD-1&amp;" год (на "&amp;IF(AK266=0,0,ROUND(1-AM266/AK266,2))&amp;"%)"</f>
        <v>#REF!</v>
      </c>
      <c r="AC275" s="896"/>
      <c r="AD275" s="896"/>
      <c r="AE275" s="896"/>
      <c r="AF275" s="896"/>
      <c r="AG275" s="896"/>
      <c r="AH275" s="896"/>
      <c r="AI275" s="896"/>
      <c r="AJ275" s="896"/>
      <c r="AK275" s="896"/>
      <c r="AL275" s="896"/>
      <c r="AM275" s="896"/>
      <c r="AN275" s="896"/>
      <c r="AO275" s="896"/>
      <c r="AP275" s="896"/>
      <c r="AQ275" s="896"/>
    </row>
    <row r="276" spans="4:43" ht="39" customHeight="1">
      <c r="D276" s="1">
        <v>52</v>
      </c>
      <c r="AB276" s="896" t="e">
        <f>"Потери на "&amp;PRD&amp;" год рассчитаны в соответствии с п. 40 (1) Основ ценообразования и приказом Минэнерго России от 26.09.2017 № 887 и составляют "&amp;AM267&amp;" млн. кВтч или "&amp;ROUND(AM268,2)&amp;"% от поступления в сеть. По отношению к утверждённым на "&amp;PRD-1&amp;" год потери "&amp;IF(AM267&lt;AK267,"ниже на "&amp;ROUND(AM267-AK267,2)&amp;" млн. кВтч ( "&amp;ROUND(AM267/AK267,2)&amp;"%).",IF(AM267=AK267,"равны","выше на "&amp;ROUND(AM267-AK267,2)&amp;" млн. кВтч ( "&amp;ROUND(AM267/AK267,2)&amp;"%)."))</f>
        <v>#REF!</v>
      </c>
      <c r="AC276" s="896"/>
      <c r="AD276" s="896"/>
      <c r="AE276" s="896"/>
      <c r="AF276" s="896"/>
      <c r="AG276" s="896"/>
      <c r="AH276" s="896"/>
      <c r="AI276" s="896"/>
      <c r="AJ276" s="896"/>
      <c r="AK276" s="896"/>
      <c r="AL276" s="896"/>
      <c r="AM276" s="896"/>
      <c r="AN276" s="896"/>
      <c r="AO276" s="896"/>
      <c r="AP276" s="896"/>
      <c r="AQ276" s="896"/>
    </row>
    <row r="277" spans="4:43" ht="13.5" customHeight="1">
      <c r="D277">
        <v>18</v>
      </c>
      <c r="AB277" s="288" t="e">
        <f>IF(AM267&lt;AK267,-1,IF(AM267=AK267,0,1))</f>
        <v>#REF!</v>
      </c>
      <c r="AC277" s="288"/>
      <c r="AD277" s="288"/>
      <c r="AE277" s="288"/>
      <c r="AF277" s="288"/>
      <c r="AG277" s="288"/>
      <c r="AH277" s="288"/>
      <c r="AI277" s="288"/>
      <c r="AJ277" s="288"/>
      <c r="AK277" s="288"/>
      <c r="AL277" s="288"/>
      <c r="AM277" s="288"/>
      <c r="AN277" s="288"/>
      <c r="AO277" s="288"/>
      <c r="AP277" s="288"/>
      <c r="AQ277" s="288"/>
    </row>
    <row r="278" spans="4:43" ht="27" customHeight="1">
      <c r="D278" s="1">
        <v>36</v>
      </c>
      <c r="AB278" s="896" t="e">
        <f>IF(AB277&lt;0,"Снижение потерь на "&amp;PRD&amp;" по отношению к утверждённой величине "&amp;PRD-1&amp;" года связан с увеличением процента потерь. Соответственно, полезный отпуск на "&amp;PRD&amp;" год по отношению к утверждённому на "&amp;PRD-1&amp;" год ниже на "&amp;ROUND(AM266-AK266,2)&amp;" млн. кВтч ("&amp;ROUND(AM266/AK266,2)&amp;"%).",IF(AB277&gt;0,"Увеличение потерь на "&amp;PRD&amp;" по отношению к утверждённой величине "&amp;PRD-1&amp;" года связан с ууменьшением процента потерь. Соответственно, полезный отпуск на "&amp;PRD&amp;"год по отношению к утверждённому на "&amp;PRD-1&amp;" год  выше на "&amp;ROUND(AM266-AK266,2)&amp;" млн. кВтч ("&amp;ROUND(AM266/AK266,2)&amp;"%).",""))</f>
        <v>#REF!</v>
      </c>
      <c r="AC278" s="896"/>
      <c r="AD278" s="896"/>
      <c r="AE278" s="896"/>
      <c r="AF278" s="896"/>
      <c r="AG278" s="896"/>
      <c r="AH278" s="896"/>
      <c r="AI278" s="896"/>
      <c r="AJ278" s="896"/>
      <c r="AK278" s="896"/>
      <c r="AL278" s="896"/>
      <c r="AM278" s="896"/>
      <c r="AN278" s="896"/>
      <c r="AO278" s="896"/>
      <c r="AP278" s="896"/>
      <c r="AQ278" s="896"/>
    </row>
    <row r="279" spans="4:43" ht="33.75" customHeight="1">
      <c r="D279" s="1">
        <v>45</v>
      </c>
      <c r="AB279" s="310"/>
      <c r="AC279" s="310"/>
      <c r="AD279" s="310"/>
      <c r="AE279" s="310"/>
      <c r="AF279" s="310"/>
      <c r="AG279" s="310"/>
      <c r="AH279" s="310"/>
      <c r="AI279" s="310"/>
      <c r="AJ279" s="310"/>
      <c r="AK279" s="310"/>
      <c r="AL279" s="310"/>
      <c r="AM279" s="310"/>
      <c r="AN279" s="310"/>
      <c r="AO279" s="310"/>
      <c r="AP279" s="310"/>
      <c r="AQ279" s="310"/>
    </row>
    <row r="280" spans="4:43" ht="31.5" customHeight="1">
      <c r="D280" s="1">
        <v>42</v>
      </c>
      <c r="AB280" s="940" t="str">
        <f>"3. АНАЛИЗ ЭКОНОМИЧЕСКОЙ ОБОСНОВАННОСТИ ВЕЛИЧИНЫ РАСХОДОВ И ВЕЛИЧИНЫ ПРИБЫЛИ НА "&amp;PRD&amp;" ГОД. СРАВНИТЕЛЬНЫЙ АНАЛИЗ ДИНАМИКИ РАСХОДОВ И ВЕЛИЧИНЫ НЕОБХОДИМОЙ ПРИБЫЛИ"</f>
        <v>3. АНАЛИЗ ЭКОНОМИЧЕСКОЙ ОБОСНОВАННОСТИ ВЕЛИЧИНЫ РАСХОДОВ И ВЕЛИЧИНЫ ПРИБЫЛИ НА 2026 ГОД. СРАВНИТЕЛЬНЫЙ АНАЛИЗ ДИНАМИКИ РАСХОДОВ И ВЕЛИЧИНЫ НЕОБХОДИМОЙ ПРИБЫЛИ</v>
      </c>
      <c r="AC280" s="781"/>
      <c r="AD280" s="781"/>
      <c r="AE280" s="781"/>
      <c r="AF280" s="781"/>
      <c r="AG280" s="781"/>
      <c r="AH280" s="781"/>
      <c r="AI280" s="781"/>
      <c r="AJ280" s="781"/>
      <c r="AK280" s="781"/>
      <c r="AL280" s="781"/>
      <c r="AM280" s="781"/>
      <c r="AN280" s="781"/>
      <c r="AO280" s="781"/>
      <c r="AP280" s="781"/>
      <c r="AQ280" s="781"/>
    </row>
    <row r="281" spans="4:43" ht="13.5" customHeight="1">
      <c r="D281" s="1">
        <v>18</v>
      </c>
    </row>
    <row r="282" spans="4:43" ht="27" customHeight="1">
      <c r="D282" s="1">
        <v>36</v>
      </c>
      <c r="AB282" s="896" t="str">
        <f>"Методом регулирования формирования необходимой валовой выручки в отношении "&amp;AG27&amp;", принимаемой к расчёту при установлении тарифов, является метод "&amp;Титульный!AE32&amp;" необходимой валовой выручки. "&amp;Титульный!AC40&amp;" год является первым годом нового долгосрочного периода (ДПР) на "&amp;Титульный!AC47&amp;" годы."</f>
        <v>Методом регулирования формирования необходимой валовой выручки в отношении МУП "Горэлектросети", принимаемой к расчёту при установлении тарифов, является метод  необходимой валовой выручки. 2026 год является первым годом нового долгосрочного периода (ДПР) на 2026-2030 годы.</v>
      </c>
      <c r="AC282" s="896"/>
      <c r="AD282" s="896"/>
      <c r="AE282" s="896"/>
      <c r="AF282" s="896"/>
      <c r="AG282" s="896"/>
      <c r="AH282" s="896"/>
      <c r="AI282" s="896"/>
      <c r="AJ282" s="896"/>
      <c r="AK282" s="896"/>
      <c r="AL282" s="896"/>
      <c r="AM282" s="896"/>
      <c r="AN282" s="896"/>
      <c r="AO282" s="896"/>
      <c r="AP282" s="896"/>
      <c r="AQ282" s="896"/>
    </row>
    <row r="283" spans="4:43" ht="17.25" customHeight="1">
      <c r="D283" s="1">
        <v>23</v>
      </c>
      <c r="AB283" s="288"/>
      <c r="AC283" s="288"/>
      <c r="AD283" s="288"/>
      <c r="AE283" s="288"/>
      <c r="AF283" s="288"/>
      <c r="AG283" s="288"/>
      <c r="AH283" s="288"/>
      <c r="AI283" s="288"/>
      <c r="AJ283" s="288"/>
      <c r="AK283" s="288"/>
      <c r="AL283" s="288"/>
      <c r="AM283" s="288"/>
      <c r="AN283" s="288"/>
      <c r="AO283" s="288"/>
      <c r="AP283" s="288"/>
      <c r="AQ283" s="288"/>
    </row>
    <row r="284" spans="4:43" ht="17.25" customHeight="1">
      <c r="D284" s="1">
        <v>23</v>
      </c>
      <c r="AB284" s="940" t="s">
        <v>1441</v>
      </c>
      <c r="AC284" s="781"/>
      <c r="AD284" s="781"/>
      <c r="AE284" s="781"/>
      <c r="AF284" s="781"/>
      <c r="AG284" s="781"/>
      <c r="AH284" s="781"/>
      <c r="AI284" s="781"/>
      <c r="AJ284" s="781"/>
      <c r="AK284" s="781"/>
      <c r="AL284" s="781"/>
      <c r="AM284" s="781"/>
      <c r="AN284" s="781"/>
      <c r="AO284" s="781"/>
      <c r="AP284" s="781"/>
      <c r="AQ284" s="781"/>
    </row>
    <row r="285" spans="4:43" ht="17.25" customHeight="1">
      <c r="D285" s="1">
        <v>23</v>
      </c>
    </row>
    <row r="286" spans="4:43" ht="72" customHeight="1">
      <c r="D286" s="1">
        <v>96</v>
      </c>
      <c r="AB286" s="896" t="s">
        <v>1442</v>
      </c>
      <c r="AC286" s="896"/>
      <c r="AD286" s="896"/>
      <c r="AE286" s="896"/>
      <c r="AF286" s="896"/>
      <c r="AG286" s="896"/>
      <c r="AH286" s="896"/>
      <c r="AI286" s="896"/>
      <c r="AJ286" s="896"/>
      <c r="AK286" s="896"/>
      <c r="AL286" s="896"/>
      <c r="AM286" s="896"/>
      <c r="AN286" s="896"/>
      <c r="AO286" s="896"/>
      <c r="AP286" s="896"/>
      <c r="AQ286" s="896"/>
    </row>
    <row r="287" spans="4:43" ht="24" customHeight="1">
      <c r="D287" s="1">
        <v>32</v>
      </c>
      <c r="AB287" s="987" t="s">
        <v>1443</v>
      </c>
      <c r="AC287" s="781"/>
      <c r="AD287" s="781"/>
      <c r="AE287" s="781"/>
      <c r="AF287" s="781"/>
      <c r="AG287" s="781"/>
      <c r="AH287" s="781"/>
      <c r="AI287" s="781"/>
      <c r="AJ287" s="781"/>
      <c r="AK287" s="781"/>
      <c r="AL287" s="781"/>
      <c r="AM287" s="781"/>
      <c r="AN287" s="781"/>
      <c r="AO287" s="781"/>
      <c r="AP287" s="781"/>
      <c r="AQ287" s="781"/>
    </row>
    <row r="288" spans="4:43" ht="21" customHeight="1" outlineLevel="1">
      <c r="D288" s="1">
        <v>28</v>
      </c>
      <c r="AA288" s="781"/>
      <c r="AB288" s="898" t="s">
        <v>1444</v>
      </c>
      <c r="AC288" s="781"/>
      <c r="AD288" s="781"/>
      <c r="AE288" s="781"/>
      <c r="AF288" s="781"/>
      <c r="AG288" s="781"/>
      <c r="AH288" s="781"/>
      <c r="AI288" s="781"/>
      <c r="AJ288" s="781"/>
      <c r="AK288" s="781"/>
      <c r="AL288" s="781"/>
      <c r="AM288" s="781"/>
      <c r="AN288" s="781"/>
      <c r="AO288" s="781"/>
      <c r="AP288" s="781"/>
      <c r="AQ288" s="781"/>
    </row>
    <row r="289" spans="4:43" ht="24" customHeight="1" outlineLevel="2">
      <c r="D289" s="1">
        <v>32</v>
      </c>
      <c r="AA289" s="781"/>
      <c r="AB289" s="896" t="s">
        <v>1445</v>
      </c>
      <c r="AC289" s="896"/>
      <c r="AD289" s="896"/>
      <c r="AE289" s="896"/>
      <c r="AF289" s="896"/>
      <c r="AG289" s="896"/>
      <c r="AH289" s="896"/>
      <c r="AI289" s="896"/>
      <c r="AJ289" s="896"/>
      <c r="AK289" s="896"/>
      <c r="AL289" s="896"/>
      <c r="AM289" s="896"/>
      <c r="AN289" s="896"/>
      <c r="AO289" s="896"/>
      <c r="AP289" s="896"/>
      <c r="AQ289" s="896"/>
    </row>
    <row r="290" spans="4:43" ht="45.75" customHeight="1" outlineLevel="1">
      <c r="D290" s="1">
        <v>61</v>
      </c>
      <c r="AA290" s="781"/>
      <c r="AB290" s="896" t="s">
        <v>1446</v>
      </c>
      <c r="AC290" s="896"/>
      <c r="AD290" s="896"/>
      <c r="AE290" s="896"/>
      <c r="AF290" s="896"/>
      <c r="AG290" s="896"/>
      <c r="AH290" s="896"/>
      <c r="AI290" s="896"/>
      <c r="AJ290" s="896"/>
      <c r="AK290" s="896"/>
      <c r="AL290" s="896"/>
      <c r="AM290" s="896"/>
      <c r="AN290" s="896"/>
      <c r="AO290" s="896"/>
      <c r="AP290" s="896"/>
      <c r="AQ290" s="896"/>
    </row>
    <row r="291" spans="4:43" ht="33" customHeight="1" outlineLevel="1">
      <c r="D291" s="1">
        <v>44</v>
      </c>
      <c r="AB291" s="896" t="s">
        <v>1447</v>
      </c>
      <c r="AC291" s="896"/>
      <c r="AD291" s="896"/>
      <c r="AE291" s="896"/>
      <c r="AF291" s="896"/>
      <c r="AG291" s="896"/>
      <c r="AH291" s="896"/>
      <c r="AI291" s="896"/>
      <c r="AJ291" s="896"/>
      <c r="AK291" s="896"/>
      <c r="AL291" s="896"/>
      <c r="AM291" s="896"/>
      <c r="AN291" s="896"/>
      <c r="AO291" s="896"/>
      <c r="AP291" s="896"/>
      <c r="AQ291" s="896"/>
    </row>
    <row r="292" spans="4:43" ht="43.5" customHeight="1" outlineLevel="1">
      <c r="D292" s="1">
        <v>58</v>
      </c>
      <c r="AB292" s="896" t="str">
        <f>"Сам порядок осуществления закупочной деятельности  детально конкретизирован в утвержденном Положении о закупке товаров, работ, услуг для нужд "&amp;AG27&amp;". Согласно информации, размещенной на официальном сайте "&amp;AG27&amp;" в разделе «закупки», в "&amp;PRD-2&amp;" году закупки производились конкурентным способом. На каждый год составляется план закупок, на "&amp;PRD&amp;" год планируются закупки путем проведения конкурентных процедур."</f>
        <v>Сам порядок осуществления закупочной деятельности  детально конкретизирован в утвержденном Положении о закупке товаров, работ, услуг для нужд МУП "Горэлектросети". Согласно информации, размещенной на официальном сайте МУП "Горэлектросети" в разделе «закупки», в 2024 году закупки производились конкурентным способом. На каждый год составляется план закупок, на 2026 год планируются закупки путем проведения конкурентных процедур.</v>
      </c>
      <c r="AC292" s="896"/>
      <c r="AD292" s="896"/>
      <c r="AE292" s="896"/>
      <c r="AF292" s="896"/>
      <c r="AG292" s="896"/>
      <c r="AH292" s="896"/>
      <c r="AI292" s="896"/>
      <c r="AJ292" s="896"/>
      <c r="AK292" s="896"/>
      <c r="AL292" s="896"/>
      <c r="AM292" s="896"/>
      <c r="AN292" s="896"/>
      <c r="AO292" s="896"/>
      <c r="AP292" s="896"/>
      <c r="AQ292" s="896"/>
    </row>
    <row r="293" spans="4:43" ht="33" customHeight="1" outlineLevel="1">
      <c r="D293" s="1">
        <v>44</v>
      </c>
      <c r="AB293" s="896" t="e">
        <f>"В соответствии с плановыми расчетами "&amp;AG27&amp;" стоимость материалов для проведения технического обслуживания и текущего ремонта электросетевого оборудования составит – "&amp;ROUND(#REF!,2)&amp;" тыс.руб. Фактические (экономически обоснованные) расходы за "&amp;PRD-2&amp;" год составили "&amp;#REF!&amp;" тыс. руб. "</f>
        <v>#REF!</v>
      </c>
      <c r="AC293" s="896"/>
      <c r="AD293" s="896"/>
      <c r="AE293" s="896"/>
      <c r="AF293" s="896"/>
      <c r="AG293" s="896"/>
      <c r="AH293" s="896"/>
      <c r="AI293" s="896"/>
      <c r="AJ293" s="896"/>
      <c r="AK293" s="896"/>
      <c r="AL293" s="896"/>
      <c r="AM293" s="896"/>
      <c r="AN293" s="896"/>
      <c r="AO293" s="896"/>
      <c r="AP293" s="896"/>
      <c r="AQ293" s="896"/>
    </row>
    <row r="294" spans="4:43" ht="59.25" customHeight="1" outlineLevel="1">
      <c r="D294" s="1">
        <v>79</v>
      </c>
      <c r="AB294" s="896" t="s">
        <v>1448</v>
      </c>
      <c r="AC294" s="896"/>
      <c r="AD294" s="896"/>
      <c r="AE294" s="896"/>
      <c r="AF294" s="896"/>
      <c r="AG294" s="896"/>
      <c r="AH294" s="896"/>
      <c r="AI294" s="896"/>
      <c r="AJ294" s="896"/>
      <c r="AK294" s="896"/>
      <c r="AL294" s="896"/>
      <c r="AM294" s="896"/>
      <c r="AN294" s="896"/>
      <c r="AO294" s="896"/>
      <c r="AP294" s="896"/>
      <c r="AQ294" s="896"/>
    </row>
    <row r="295" spans="4:43" ht="57" customHeight="1" outlineLevel="1">
      <c r="D295" s="1">
        <v>76</v>
      </c>
      <c r="AB295" s="896" t="s">
        <v>1449</v>
      </c>
      <c r="AC295" s="896"/>
      <c r="AD295" s="896"/>
      <c r="AE295" s="896"/>
      <c r="AF295" s="896"/>
      <c r="AG295" s="896"/>
      <c r="AH295" s="896"/>
      <c r="AI295" s="896"/>
      <c r="AJ295" s="896"/>
      <c r="AK295" s="896"/>
      <c r="AL295" s="896"/>
      <c r="AM295" s="896"/>
      <c r="AN295" s="896"/>
      <c r="AO295" s="896"/>
      <c r="AP295" s="896"/>
      <c r="AQ295" s="896"/>
    </row>
    <row r="296" spans="4:43" ht="48" customHeight="1" outlineLevel="1">
      <c r="D296" s="1">
        <v>64</v>
      </c>
      <c r="AB296" s="896" t="str">
        <f>" -индекса потребительских цен, принятого на "&amp;PRD&amp;" год Министерством экономического развития Российской Федерации.
В соответствии с разработанными графиками планово-предупредительных и текущих ремонтов, технического обслуживания и технического осмотра электроустановок определена потребность "&amp;AG27&amp;" в материалах на "&amp;PRD&amp;" год. "</f>
        <v xml:space="preserve"> -индекса потребительских цен, принятого на 2026 год Министерством экономического развития Российской Федерации.
В соответствии с разработанными графиками планово-предупредительных и текущих ремонтов, технического обслуживания и технического осмотра электроустановок определена потребность МУП "Горэлектросети" в материалах на 2026 год. </v>
      </c>
      <c r="AC296" s="896"/>
      <c r="AD296" s="896"/>
      <c r="AE296" s="896"/>
      <c r="AF296" s="896"/>
      <c r="AG296" s="896"/>
      <c r="AH296" s="896"/>
      <c r="AI296" s="896"/>
      <c r="AJ296" s="896"/>
      <c r="AK296" s="896"/>
      <c r="AL296" s="896"/>
      <c r="AM296" s="896"/>
      <c r="AN296" s="896"/>
      <c r="AO296" s="896"/>
      <c r="AP296" s="896"/>
      <c r="AQ296" s="896"/>
    </row>
    <row r="297" spans="4:43" ht="48" customHeight="1" outlineLevel="1">
      <c r="D297" s="1">
        <v>64</v>
      </c>
      <c r="AB297" s="896" t="s">
        <v>1450</v>
      </c>
      <c r="AC297" s="896"/>
      <c r="AD297" s="896"/>
      <c r="AE297" s="896"/>
      <c r="AF297" s="896"/>
      <c r="AG297" s="896"/>
      <c r="AH297" s="896"/>
      <c r="AI297" s="896"/>
      <c r="AJ297" s="896"/>
      <c r="AK297" s="896"/>
      <c r="AL297" s="896"/>
      <c r="AM297" s="896"/>
      <c r="AN297" s="896"/>
      <c r="AO297" s="896"/>
      <c r="AP297" s="896"/>
      <c r="AQ297" s="896"/>
    </row>
    <row r="298" spans="4:43" ht="45.75" customHeight="1" outlineLevel="1">
      <c r="D298" s="1">
        <v>61</v>
      </c>
      <c r="AB298" s="896" t="e">
        <f>"Проанализировав представленные для обоснования данной статьи расшифровки и документы, а также фактические затраты  за "&amp;PRD-2&amp;" год, эксперты предлагают считать достаточным для данного сетевого хозяйства расходы на сырье, основные материалы, вспомогательные материалы, инструмент в размере "&amp;ROUND(#REF!,2)&amp;" тыс. руб. "</f>
        <v>#REF!</v>
      </c>
      <c r="AC298" s="896"/>
      <c r="AD298" s="896"/>
      <c r="AE298" s="896"/>
      <c r="AF298" s="896"/>
      <c r="AG298" s="896"/>
      <c r="AH298" s="896"/>
      <c r="AI298" s="896"/>
      <c r="AJ298" s="896"/>
      <c r="AK298" s="896"/>
      <c r="AL298" s="896"/>
      <c r="AM298" s="896"/>
      <c r="AN298" s="896"/>
      <c r="AO298" s="896"/>
      <c r="AP298" s="896"/>
      <c r="AQ298" s="896"/>
    </row>
    <row r="299" spans="4:43" ht="45.75" customHeight="1" outlineLevel="1">
      <c r="D299" s="1">
        <v>61</v>
      </c>
      <c r="AB299" s="896" t="e">
        <f>"В соответствии с плановыми расчетами "&amp;AG27&amp;" стоимость работ на услуги производственного характера составит – "&amp;ROUND(#REF!,2)&amp;" тыс.руб. Фактические (экономически обоснованные) расходы за "&amp;PRD-2&amp;" год составили "&amp;#REF!&amp;" тыс. руб. "</f>
        <v>#REF!</v>
      </c>
      <c r="AC299" s="896"/>
      <c r="AD299" s="896"/>
      <c r="AE299" s="896"/>
      <c r="AF299" s="896"/>
      <c r="AG299" s="896"/>
      <c r="AH299" s="896"/>
      <c r="AI299" s="896"/>
      <c r="AJ299" s="896"/>
      <c r="AK299" s="896"/>
      <c r="AL299" s="896"/>
      <c r="AM299" s="896"/>
      <c r="AN299" s="896"/>
      <c r="AO299" s="896"/>
      <c r="AP299" s="896"/>
      <c r="AQ299" s="896"/>
    </row>
    <row r="300" spans="4:43" ht="91.5" customHeight="1" outlineLevel="1">
      <c r="D300" s="1">
        <v>122</v>
      </c>
      <c r="AB300" s="896" t="s">
        <v>1451</v>
      </c>
      <c r="AC300" s="896"/>
      <c r="AD300" s="896"/>
      <c r="AE300" s="896"/>
      <c r="AF300" s="896"/>
      <c r="AG300" s="896"/>
      <c r="AH300" s="896"/>
      <c r="AI300" s="896"/>
      <c r="AJ300" s="896"/>
      <c r="AK300" s="896"/>
      <c r="AL300" s="896"/>
      <c r="AM300" s="896"/>
      <c r="AN300" s="896"/>
      <c r="AO300" s="896"/>
      <c r="AP300" s="896"/>
      <c r="AQ300" s="896"/>
    </row>
    <row r="301" spans="4:43" ht="45.75" customHeight="1" outlineLevel="1">
      <c r="D301" s="1">
        <v>61</v>
      </c>
      <c r="AB301" s="896" t="s">
        <v>1452</v>
      </c>
      <c r="AC301" s="896"/>
      <c r="AD301" s="896"/>
      <c r="AE301" s="896"/>
      <c r="AF301" s="896"/>
      <c r="AG301" s="896"/>
      <c r="AH301" s="896"/>
      <c r="AI301" s="896"/>
      <c r="AJ301" s="896"/>
      <c r="AK301" s="896"/>
      <c r="AL301" s="896"/>
      <c r="AM301" s="896"/>
      <c r="AN301" s="896"/>
      <c r="AO301" s="896"/>
      <c r="AP301" s="896"/>
      <c r="AQ301" s="896"/>
    </row>
    <row r="302" spans="4:43" ht="45.75" customHeight="1" outlineLevel="1">
      <c r="D302" s="1">
        <v>61</v>
      </c>
      <c r="AB302" s="896" t="s">
        <v>1446</v>
      </c>
      <c r="AC302" s="896"/>
      <c r="AD302" s="896"/>
      <c r="AE302" s="896"/>
      <c r="AF302" s="896"/>
      <c r="AG302" s="896"/>
      <c r="AH302" s="896"/>
      <c r="AI302" s="896"/>
      <c r="AJ302" s="896"/>
      <c r="AK302" s="896"/>
      <c r="AL302" s="896"/>
      <c r="AM302" s="896"/>
      <c r="AN302" s="896"/>
      <c r="AO302" s="896"/>
      <c r="AP302" s="896"/>
      <c r="AQ302" s="896"/>
    </row>
    <row r="303" spans="4:43" ht="48" customHeight="1" outlineLevel="1">
      <c r="D303" s="1">
        <v>64</v>
      </c>
      <c r="AB303" s="896" t="e">
        <f>"Проанализировав представленные для обоснования данной статьи расшифровки и документы, а также фактические затраты  за "&amp;PRD-2&amp;" год, эксперты предлагают считать достаточным для данного сетевого хозяйства расходы на работы и услуги производ. характера в размере "&amp;ROUND(#REF!,2)&amp;" тыс. руб. "</f>
        <v>#REF!</v>
      </c>
      <c r="AC303" s="896"/>
      <c r="AD303" s="896"/>
      <c r="AE303" s="896"/>
      <c r="AF303" s="896"/>
      <c r="AG303" s="896"/>
      <c r="AH303" s="896"/>
      <c r="AI303" s="896"/>
      <c r="AJ303" s="896"/>
      <c r="AK303" s="896"/>
      <c r="AL303" s="896"/>
      <c r="AM303" s="896"/>
      <c r="AN303" s="896"/>
      <c r="AO303" s="896"/>
      <c r="AP303" s="896"/>
      <c r="AQ303" s="896"/>
    </row>
    <row r="304" spans="4:43" ht="21.75" customHeight="1" outlineLevel="1">
      <c r="D304" s="1">
        <v>29</v>
      </c>
      <c r="AB304" s="781"/>
      <c r="AC304" s="781"/>
      <c r="AD304" s="781"/>
      <c r="AE304" s="781"/>
      <c r="AF304" s="781"/>
      <c r="AG304" s="781"/>
      <c r="AH304" s="781"/>
      <c r="AI304" s="781"/>
      <c r="AJ304" s="781"/>
      <c r="AK304" s="781"/>
      <c r="AL304" s="781"/>
      <c r="AM304" s="781"/>
      <c r="AN304" s="781"/>
      <c r="AO304" s="781"/>
      <c r="AP304" s="781"/>
      <c r="AQ304" s="781"/>
    </row>
    <row r="305" spans="4:43" ht="21.75" customHeight="1" outlineLevel="1">
      <c r="D305" s="1">
        <v>29</v>
      </c>
      <c r="AB305" s="933"/>
      <c r="AC305" s="934"/>
      <c r="AD305" s="934"/>
      <c r="AE305" s="935"/>
      <c r="AF305" s="313" t="s">
        <v>1435</v>
      </c>
      <c r="AG305" s="903" t="s">
        <v>943</v>
      </c>
      <c r="AH305" s="903"/>
      <c r="AI305" s="903" t="s">
        <v>755</v>
      </c>
      <c r="AJ305" s="903"/>
      <c r="AK305" s="903" t="s">
        <v>942</v>
      </c>
      <c r="AL305" s="903"/>
    </row>
    <row r="306" spans="4:43" ht="33.75" customHeight="1" outlineLevel="1">
      <c r="D306" s="1">
        <v>45</v>
      </c>
      <c r="AB306" s="313" t="s">
        <v>618</v>
      </c>
      <c r="AC306" s="900" t="s">
        <v>1453</v>
      </c>
      <c r="AD306" s="900"/>
      <c r="AE306" s="900"/>
      <c r="AF306" s="313" t="s">
        <v>619</v>
      </c>
      <c r="AG306" s="901" t="e">
        <f>#REF!</f>
        <v>#REF!</v>
      </c>
      <c r="AH306" s="902"/>
      <c r="AI306" s="901" t="e">
        <f>#REF!</f>
        <v>#REF!</v>
      </c>
      <c r="AJ306" s="902"/>
      <c r="AK306" s="901" t="e">
        <f>AI306-AG306</f>
        <v>#REF!</v>
      </c>
      <c r="AL306" s="902"/>
    </row>
    <row r="307" spans="4:43" ht="51.75" customHeight="1" outlineLevel="1">
      <c r="D307" s="1">
        <v>69</v>
      </c>
      <c r="AB307" s="313" t="s">
        <v>930</v>
      </c>
      <c r="AC307" s="900" t="s">
        <v>954</v>
      </c>
      <c r="AD307" s="900"/>
      <c r="AE307" s="900"/>
      <c r="AF307" s="313" t="s">
        <v>619</v>
      </c>
      <c r="AG307" s="901" t="e">
        <f>#REF!</f>
        <v>#REF!</v>
      </c>
      <c r="AH307" s="902"/>
      <c r="AI307" s="901" t="e">
        <f>#REF!</f>
        <v>#REF!</v>
      </c>
      <c r="AJ307" s="902"/>
      <c r="AK307" s="901" t="e">
        <f>AI307-AG307</f>
        <v>#REF!</v>
      </c>
      <c r="AL307" s="902"/>
    </row>
    <row r="308" spans="4:43" ht="33.75" customHeight="1" outlineLevel="1">
      <c r="D308" s="1">
        <v>45</v>
      </c>
      <c r="AB308" s="313" t="s">
        <v>931</v>
      </c>
      <c r="AC308" s="900" t="s">
        <v>957</v>
      </c>
      <c r="AD308" s="900"/>
      <c r="AE308" s="900"/>
      <c r="AF308" s="313" t="s">
        <v>619</v>
      </c>
      <c r="AG308" s="901" t="e">
        <f>#REF!</f>
        <v>#REF!</v>
      </c>
      <c r="AH308" s="902"/>
      <c r="AI308" s="901" t="e">
        <f>#REF!</f>
        <v>#REF!</v>
      </c>
      <c r="AJ308" s="902"/>
      <c r="AK308" s="901" t="e">
        <f>AI308-AG308</f>
        <v>#REF!</v>
      </c>
      <c r="AL308" s="902"/>
    </row>
    <row r="309" spans="4:43" ht="27" customHeight="1" outlineLevel="1">
      <c r="D309" s="1">
        <v>36</v>
      </c>
      <c r="AB309" s="781"/>
      <c r="AC309" s="781"/>
      <c r="AD309" s="781"/>
      <c r="AE309" s="781"/>
      <c r="AF309" s="781"/>
      <c r="AG309" s="781"/>
      <c r="AH309" s="781"/>
      <c r="AI309" s="781"/>
      <c r="AJ309" s="781"/>
      <c r="AK309" s="781"/>
      <c r="AL309" s="781"/>
      <c r="AM309" s="781"/>
      <c r="AN309" s="781"/>
      <c r="AO309" s="781"/>
      <c r="AP309" s="781"/>
      <c r="AQ309" s="781"/>
    </row>
    <row r="310" spans="4:43" ht="30" customHeight="1" outlineLevel="1">
      <c r="D310" s="1">
        <v>40</v>
      </c>
      <c r="AB310" s="896" t="s">
        <v>1454</v>
      </c>
      <c r="AC310" s="896"/>
      <c r="AD310" s="896"/>
      <c r="AE310" s="896"/>
      <c r="AF310" s="896"/>
      <c r="AG310" s="896"/>
      <c r="AH310" s="896"/>
      <c r="AI310" s="896"/>
      <c r="AJ310" s="896"/>
      <c r="AK310" s="896"/>
      <c r="AL310" s="896"/>
      <c r="AM310" s="896"/>
      <c r="AN310" s="896"/>
      <c r="AO310" s="896"/>
      <c r="AP310" s="896"/>
      <c r="AQ310" s="896"/>
    </row>
    <row r="311" spans="4:43" ht="15" customHeight="1" outlineLevel="1">
      <c r="D311" s="1">
        <v>20</v>
      </c>
      <c r="AB311" s="896" t="e">
        <f>"Таким образом, в расчёт принята сумма затрат в размере "&amp;ROUND(AI306,2)&amp;" тыс. руб."</f>
        <v>#REF!</v>
      </c>
      <c r="AC311" s="896"/>
      <c r="AD311" s="896"/>
      <c r="AE311" s="896"/>
      <c r="AF311" s="896"/>
      <c r="AG311" s="896"/>
      <c r="AH311" s="896"/>
      <c r="AI311" s="896"/>
      <c r="AJ311" s="896"/>
      <c r="AK311" s="896"/>
      <c r="AL311" s="896"/>
      <c r="AM311" s="896"/>
      <c r="AN311" s="896"/>
      <c r="AO311" s="896"/>
      <c r="AP311" s="896"/>
      <c r="AQ311" s="896"/>
    </row>
    <row r="312" spans="4:43" ht="33.75" customHeight="1">
      <c r="D312" s="1">
        <v>45</v>
      </c>
    </row>
    <row r="313" spans="4:43" ht="28.5" hidden="1" customHeight="1">
      <c r="D313" s="1">
        <v>0</v>
      </c>
    </row>
    <row r="314" spans="4:43" ht="21" customHeight="1" outlineLevel="2">
      <c r="D314" s="1">
        <v>28</v>
      </c>
      <c r="AA314" s="781"/>
      <c r="AB314" s="898" t="s">
        <v>1455</v>
      </c>
      <c r="AC314" s="781"/>
      <c r="AD314" s="781"/>
      <c r="AE314" s="781"/>
      <c r="AF314" s="781"/>
      <c r="AG314" s="781"/>
      <c r="AH314" s="781"/>
      <c r="AI314" s="781"/>
      <c r="AJ314" s="781"/>
      <c r="AK314" s="781"/>
      <c r="AL314" s="781"/>
      <c r="AM314" s="781"/>
      <c r="AN314" s="781"/>
      <c r="AO314" s="781"/>
      <c r="AP314" s="781"/>
      <c r="AQ314" s="781"/>
    </row>
    <row r="315" spans="4:43" ht="48" customHeight="1" outlineLevel="2">
      <c r="D315" s="1">
        <v>64</v>
      </c>
      <c r="AA315" s="781"/>
      <c r="AB315" s="896" t="s">
        <v>1456</v>
      </c>
      <c r="AC315" s="896"/>
      <c r="AD315" s="896"/>
      <c r="AE315" s="896"/>
      <c r="AF315" s="896"/>
      <c r="AG315" s="896"/>
      <c r="AH315" s="896"/>
      <c r="AI315" s="896"/>
      <c r="AJ315" s="896"/>
      <c r="AK315" s="896"/>
      <c r="AL315" s="896"/>
      <c r="AM315" s="896"/>
      <c r="AN315" s="896"/>
      <c r="AO315" s="896"/>
      <c r="AP315" s="896"/>
      <c r="AQ315" s="896"/>
    </row>
    <row r="316" spans="4:43" ht="18" customHeight="1" outlineLevel="2">
      <c r="D316" s="1">
        <v>24</v>
      </c>
      <c r="AB316" s="896" t="str">
        <f>"В качестве обоснования расходов "&amp;AG27&amp;" были предоставлены:"</f>
        <v>В качестве обоснования расходов МУП "Горэлектросети" были предоставлены:</v>
      </c>
      <c r="AC316" s="896"/>
      <c r="AD316" s="896"/>
      <c r="AE316" s="896"/>
      <c r="AF316" s="896"/>
      <c r="AG316" s="896"/>
      <c r="AH316" s="896"/>
      <c r="AI316" s="896"/>
      <c r="AJ316" s="896"/>
      <c r="AK316" s="896"/>
      <c r="AL316" s="896"/>
      <c r="AM316" s="896"/>
      <c r="AN316" s="896"/>
      <c r="AO316" s="896"/>
      <c r="AP316" s="896"/>
      <c r="AQ316" s="896"/>
    </row>
    <row r="317" spans="4:43" ht="18" customHeight="1" outlineLevel="2">
      <c r="D317" s="1">
        <v>24</v>
      </c>
      <c r="AB317" s="896" t="str">
        <f>" - расчёт нормативной численности административно-управленческого персонала "&amp;AG27</f>
        <v xml:space="preserve"> - расчёт нормативной численности административно-управленческого персонала МУП "Горэлектросети"</v>
      </c>
      <c r="AC317" s="896"/>
      <c r="AD317" s="896"/>
      <c r="AE317" s="896"/>
      <c r="AF317" s="896"/>
      <c r="AG317" s="896"/>
      <c r="AH317" s="896"/>
      <c r="AI317" s="896"/>
      <c r="AJ317" s="896"/>
      <c r="AK317" s="896"/>
      <c r="AL317" s="896"/>
      <c r="AM317" s="896"/>
      <c r="AN317" s="896"/>
      <c r="AO317" s="896"/>
      <c r="AP317" s="896"/>
      <c r="AQ317" s="896"/>
    </row>
    <row r="318" spans="4:43" ht="18" customHeight="1" outlineLevel="2">
      <c r="D318" s="1">
        <v>24</v>
      </c>
      <c r="AB318" s="896" t="str">
        <f>" - расчёт нормативной численности рабочих "&amp;AG27</f>
        <v xml:space="preserve"> - расчёт нормативной численности рабочих МУП "Горэлектросети"</v>
      </c>
      <c r="AC318" s="896"/>
      <c r="AD318" s="896"/>
      <c r="AE318" s="896"/>
      <c r="AF318" s="896"/>
      <c r="AG318" s="896"/>
      <c r="AH318" s="896"/>
      <c r="AI318" s="896"/>
      <c r="AJ318" s="896"/>
      <c r="AK318" s="896"/>
      <c r="AL318" s="896"/>
      <c r="AM318" s="896"/>
      <c r="AN318" s="896"/>
      <c r="AO318" s="896"/>
      <c r="AP318" s="896"/>
      <c r="AQ318" s="896"/>
    </row>
    <row r="319" spans="4:43" ht="18" customHeight="1" outlineLevel="2">
      <c r="D319" s="1">
        <v>24</v>
      </c>
      <c r="AB319" s="896" t="str">
        <f>" - положение об оплате труда и премировании;"</f>
        <v xml:space="preserve"> - положение об оплате труда и премировании;</v>
      </c>
      <c r="AC319" s="896"/>
      <c r="AD319" s="896"/>
      <c r="AE319" s="896"/>
      <c r="AF319" s="896"/>
      <c r="AG319" s="896"/>
      <c r="AH319" s="896"/>
      <c r="AI319" s="896"/>
      <c r="AJ319" s="896"/>
      <c r="AK319" s="896"/>
      <c r="AL319" s="896"/>
      <c r="AM319" s="896"/>
      <c r="AN319" s="896"/>
      <c r="AO319" s="896"/>
      <c r="AP319" s="896"/>
      <c r="AQ319" s="896"/>
    </row>
    <row r="320" spans="4:43" ht="18" customHeight="1" outlineLevel="2">
      <c r="D320" s="1">
        <v>24</v>
      </c>
      <c r="AB320" s="896" t="s">
        <v>1457</v>
      </c>
      <c r="AC320" s="896"/>
      <c r="AD320" s="896"/>
      <c r="AE320" s="896"/>
      <c r="AF320" s="896"/>
      <c r="AG320" s="896"/>
      <c r="AH320" s="896"/>
      <c r="AI320" s="896"/>
      <c r="AJ320" s="896"/>
      <c r="AK320" s="896"/>
      <c r="AL320" s="896"/>
      <c r="AM320" s="896"/>
      <c r="AN320" s="896"/>
      <c r="AO320" s="896"/>
      <c r="AP320" s="896"/>
      <c r="AQ320" s="896"/>
    </row>
    <row r="321" spans="4:43" ht="18" customHeight="1" outlineLevel="2">
      <c r="D321" s="1">
        <v>24</v>
      </c>
      <c r="AB321" s="896" t="str">
        <f>" - оборотно-сальдовые ведомости за "&amp;PRD-2&amp;" год по счетам 20,25, 26, 70, 91;"</f>
        <v xml:space="preserve"> - оборотно-сальдовые ведомости за 2024 год по счетам 20,25, 26, 70, 91;</v>
      </c>
      <c r="AC321" s="896"/>
      <c r="AD321" s="896"/>
      <c r="AE321" s="896"/>
      <c r="AF321" s="896"/>
      <c r="AG321" s="896"/>
      <c r="AH321" s="896"/>
      <c r="AI321" s="896"/>
      <c r="AJ321" s="896"/>
      <c r="AK321" s="896"/>
      <c r="AL321" s="896"/>
      <c r="AM321" s="896"/>
      <c r="AN321" s="896"/>
      <c r="AO321" s="896"/>
      <c r="AP321" s="896"/>
      <c r="AQ321" s="896"/>
    </row>
    <row r="322" spans="4:43" ht="18" customHeight="1" outlineLevel="2">
      <c r="D322" s="1">
        <v>24</v>
      </c>
      <c r="AB322" s="896" t="str">
        <f>" - анализ заработной платы по сотрудникам за "&amp;PRD-2&amp;" год."</f>
        <v xml:space="preserve"> - анализ заработной платы по сотрудникам за 2024 год.</v>
      </c>
      <c r="AC322" s="896"/>
      <c r="AD322" s="896"/>
      <c r="AE322" s="896"/>
      <c r="AF322" s="896"/>
      <c r="AG322" s="896"/>
      <c r="AH322" s="896"/>
      <c r="AI322" s="896"/>
      <c r="AJ322" s="896"/>
      <c r="AK322" s="896"/>
      <c r="AL322" s="896"/>
      <c r="AM322" s="896"/>
      <c r="AN322" s="896"/>
      <c r="AO322" s="896"/>
      <c r="AP322" s="896"/>
      <c r="AQ322" s="896"/>
    </row>
    <row r="323" spans="4:43" ht="36" customHeight="1" outlineLevel="2">
      <c r="D323" s="1">
        <v>48</v>
      </c>
      <c r="AB323" s="896" t="str">
        <f>"Расходы на оплату труда, принятые в расчет тарифа по передаче электрической энергии по сетям "&amp;AG27&amp;" на "&amp;PRD&amp;" год, сформированы на основании следующих нормативных документов: Трудовой кодекс Российской Федерации"</f>
        <v>Расходы на оплату труда, принятые в расчет тарифа по передаче электрической энергии по сетям МУП "Горэлектросети" на 2026 год, сформированы на основании следующих нормативных документов: Трудовой кодекс Российской Федерации</v>
      </c>
      <c r="AC323" s="896"/>
      <c r="AD323" s="896"/>
      <c r="AE323" s="896"/>
      <c r="AF323" s="896"/>
      <c r="AG323" s="896"/>
      <c r="AH323" s="896"/>
      <c r="AI323" s="896"/>
      <c r="AJ323" s="896"/>
      <c r="AK323" s="896"/>
      <c r="AL323" s="896"/>
      <c r="AM323" s="896"/>
      <c r="AN323" s="896"/>
      <c r="AO323" s="896"/>
      <c r="AP323" s="896"/>
      <c r="AQ323" s="896"/>
    </row>
    <row r="324" spans="4:43" ht="33" customHeight="1" outlineLevel="2">
      <c r="D324" s="1">
        <v>44</v>
      </c>
      <c r="AB324" s="896" t="str">
        <f>"Отраслевое тарифное соглашение в электроэнергетике Российской Федерации, официальных данных Росстата РФ и "&amp;Титульный!AC23&amp;" о средней заработной плате в электроэнергетике. При этом расчетная численность на "&amp;PRD&amp;" год для обеспечения деятельности по передаче электрической энергии рассчитана на основе:"</f>
        <v>Отраслевое тарифное соглашение в электроэнергетике Российской Федерации, официальных данных Росстата РФ и Республика Алтай о средней заработной плате в электроэнергетике. При этом расчетная численность на 2026 год для обеспечения деятельности по передаче электрической энергии рассчитана на основе:</v>
      </c>
      <c r="AC324" s="896"/>
      <c r="AD324" s="896"/>
      <c r="AE324" s="896"/>
      <c r="AF324" s="896"/>
      <c r="AG324" s="896"/>
      <c r="AH324" s="896"/>
      <c r="AI324" s="896"/>
      <c r="AJ324" s="896"/>
      <c r="AK324" s="896"/>
      <c r="AL324" s="896"/>
      <c r="AM324" s="896"/>
      <c r="AN324" s="896"/>
      <c r="AO324" s="896"/>
      <c r="AP324" s="896"/>
      <c r="AQ324" s="896"/>
    </row>
    <row r="325" spans="4:43" ht="42" customHeight="1" outlineLevel="2">
      <c r="D325" s="1">
        <v>56</v>
      </c>
      <c r="AB325" s="896" t="s">
        <v>1458</v>
      </c>
      <c r="AC325" s="896"/>
      <c r="AD325" s="896"/>
      <c r="AE325" s="896"/>
      <c r="AF325" s="896"/>
      <c r="AG325" s="896"/>
      <c r="AH325" s="896"/>
      <c r="AI325" s="896"/>
      <c r="AJ325" s="896"/>
      <c r="AK325" s="896"/>
      <c r="AL325" s="896"/>
      <c r="AM325" s="896"/>
      <c r="AN325" s="896"/>
      <c r="AO325" s="896"/>
      <c r="AP325" s="896"/>
      <c r="AQ325" s="896"/>
    </row>
    <row r="326" spans="4:43" ht="19.5" customHeight="1" outlineLevel="2">
      <c r="D326" s="1">
        <v>26</v>
      </c>
      <c r="AB326" s="896"/>
      <c r="AC326" s="896"/>
      <c r="AD326" s="896"/>
      <c r="AE326" s="896"/>
      <c r="AF326" s="896"/>
      <c r="AG326" s="896"/>
      <c r="AH326" s="896"/>
      <c r="AI326" s="896"/>
      <c r="AJ326" s="896"/>
      <c r="AK326" s="896"/>
      <c r="AL326" s="896"/>
      <c r="AM326" s="896"/>
      <c r="AN326" s="896"/>
      <c r="AO326" s="896"/>
      <c r="AP326" s="896"/>
      <c r="AQ326" s="896"/>
    </row>
    <row r="327" spans="4:43" ht="33" customHeight="1" outlineLevel="2">
      <c r="D327" s="1">
        <v>44</v>
      </c>
      <c r="AB327" s="896"/>
      <c r="AC327" s="896"/>
      <c r="AD327" s="896"/>
      <c r="AE327" s="896"/>
      <c r="AF327" s="896"/>
      <c r="AG327" s="896"/>
      <c r="AH327" s="896"/>
      <c r="AI327" s="896"/>
      <c r="AJ327" s="896"/>
      <c r="AK327" s="896"/>
      <c r="AL327" s="896"/>
      <c r="AM327" s="896"/>
      <c r="AN327" s="896"/>
      <c r="AO327" s="896"/>
      <c r="AP327" s="896"/>
      <c r="AQ327" s="896"/>
    </row>
    <row r="328" spans="4:43" ht="19.5" customHeight="1" outlineLevel="2">
      <c r="D328" s="1">
        <v>26</v>
      </c>
      <c r="AB328" s="892" t="e">
        <f>"Плановая численность работников, оказывающих услуги по передаче электрической энергии на "&amp;PRD&amp;" год, составляет "&amp;#REF!&amp;" человек"</f>
        <v>#REF!</v>
      </c>
      <c r="AC328" s="781"/>
      <c r="AD328" s="781"/>
      <c r="AE328" s="781"/>
      <c r="AF328" s="781"/>
      <c r="AG328" s="781"/>
      <c r="AH328" s="781"/>
      <c r="AI328" s="781"/>
      <c r="AJ328" s="781"/>
      <c r="AK328" s="781"/>
      <c r="AL328" s="781"/>
      <c r="AM328" s="781"/>
      <c r="AN328" s="781"/>
      <c r="AO328" s="781"/>
      <c r="AP328" s="781"/>
      <c r="AQ328" s="781"/>
    </row>
    <row r="329" spans="4:43" ht="21.75" customHeight="1" outlineLevel="2">
      <c r="D329" s="1">
        <v>29</v>
      </c>
      <c r="AB329" s="892" t="str">
        <f>"По штатному расписанию за "&amp;PRD-2&amp;" год численность"</f>
        <v>По штатному расписанию за 2024 год численность</v>
      </c>
      <c r="AC329" s="781"/>
      <c r="AD329" s="781"/>
      <c r="AE329" s="781"/>
      <c r="AF329" s="781"/>
      <c r="AG329" s="781"/>
      <c r="AH329" s="327"/>
    </row>
    <row r="330" spans="4:43" ht="24" customHeight="1" outlineLevel="2">
      <c r="D330" s="1">
        <v>32</v>
      </c>
      <c r="AB330" s="892" t="e">
        <f>IF(#REF!=AH329,"Плановая численность сотрудников соответствует численности штатного расписания","Плановая численность сотрудников не соответствует численности штатного расписания")</f>
        <v>#REF!</v>
      </c>
      <c r="AC330" s="781"/>
      <c r="AD330" s="781"/>
      <c r="AE330" s="781"/>
      <c r="AF330" s="781"/>
      <c r="AG330" s="781"/>
      <c r="AH330" s="781"/>
      <c r="AI330" s="781"/>
      <c r="AJ330" s="781"/>
      <c r="AK330" s="781"/>
      <c r="AL330" s="781"/>
      <c r="AM330" s="781"/>
      <c r="AN330" s="781"/>
      <c r="AO330" s="781"/>
      <c r="AP330" s="781"/>
      <c r="AQ330" s="781"/>
    </row>
    <row r="331" spans="4:43" ht="21.75" customHeight="1" outlineLevel="2">
      <c r="D331" s="1">
        <v>29</v>
      </c>
      <c r="AB331" s="892" t="s">
        <v>1459</v>
      </c>
      <c r="AC331" s="781"/>
      <c r="AD331" s="781"/>
      <c r="AE331" s="781"/>
      <c r="AF331" s="781"/>
      <c r="AG331" s="781"/>
      <c r="AH331" s="327"/>
    </row>
    <row r="332" spans="4:43" ht="24" customHeight="1" outlineLevel="2">
      <c r="D332" s="1">
        <v>32</v>
      </c>
      <c r="AB332" s="892" t="e">
        <f>IF(#REF!="","В таблице П1.16 фактическая численность не указана","В таблице П1.16 указана численность "&amp;#REF!)</f>
        <v>#REF!</v>
      </c>
      <c r="AC332" s="781"/>
      <c r="AD332" s="781"/>
      <c r="AE332" s="781"/>
      <c r="AF332" s="781"/>
      <c r="AG332" s="781"/>
      <c r="AH332" s="781"/>
      <c r="AI332" s="781"/>
      <c r="AJ332" s="781"/>
      <c r="AK332" s="781"/>
      <c r="AL332" s="781"/>
      <c r="AM332" s="781"/>
      <c r="AN332" s="781"/>
      <c r="AO332" s="781"/>
      <c r="AP332" s="781"/>
      <c r="AQ332" s="781"/>
    </row>
    <row r="333" spans="4:43" ht="24" customHeight="1" outlineLevel="2">
      <c r="D333" s="1">
        <v>32</v>
      </c>
      <c r="AB333" s="892" t="s">
        <v>1460</v>
      </c>
      <c r="AC333" s="781"/>
      <c r="AD333" s="781"/>
      <c r="AE333" s="781"/>
      <c r="AF333" s="781"/>
      <c r="AG333" s="781"/>
      <c r="AH333" s="327"/>
    </row>
    <row r="334" spans="4:43" ht="61.5" customHeight="1" outlineLevel="2">
      <c r="D334" s="1">
        <v>82</v>
      </c>
      <c r="AB334" s="896" t="s">
        <v>1461</v>
      </c>
      <c r="AC334" s="896"/>
      <c r="AD334" s="896"/>
      <c r="AE334" s="896"/>
      <c r="AF334" s="896"/>
      <c r="AG334" s="896"/>
      <c r="AH334" s="896"/>
      <c r="AI334" s="896"/>
      <c r="AJ334" s="896"/>
      <c r="AK334" s="896"/>
      <c r="AL334" s="896"/>
      <c r="AM334" s="896"/>
      <c r="AN334" s="896"/>
      <c r="AO334" s="896"/>
      <c r="AP334" s="896"/>
      <c r="AQ334" s="896"/>
    </row>
    <row r="335" spans="4:43" ht="18" customHeight="1" outlineLevel="2">
      <c r="D335" s="1">
        <v>24</v>
      </c>
      <c r="AB335" s="896" t="e">
        <f>"Согласно расчёту экспертов нормативная численность составляет "&amp;ROUNDDOWN(#REF!,0)&amp;" человек."</f>
        <v>#REF!</v>
      </c>
      <c r="AC335" s="896"/>
      <c r="AD335" s="896"/>
      <c r="AE335" s="896"/>
      <c r="AF335" s="896"/>
      <c r="AG335" s="896"/>
      <c r="AH335" s="896"/>
      <c r="AI335" s="896"/>
      <c r="AJ335" s="896"/>
      <c r="AK335" s="896"/>
      <c r="AL335" s="896"/>
      <c r="AM335" s="896"/>
      <c r="AN335" s="896"/>
      <c r="AO335" s="896"/>
      <c r="AP335" s="896"/>
      <c r="AQ335" s="896"/>
    </row>
    <row r="336" spans="4:43" ht="33.75" customHeight="1" outlineLevel="2">
      <c r="D336" s="1">
        <v>45</v>
      </c>
      <c r="AB336" s="896" t="e">
        <f>"Анализ расходов показал, что фактические расходы за "&amp;PRD-2&amp;" год по данной статье составили "&amp;ROUND(#REF!,2)&amp;"тыс. руб., при этом средняя заработная плата составила "&amp;ROUND(#REF!,2)&amp;" рублей (в соответствии с представленной формой «Анализ зарплаты по сотрудникам за "&amp;PRD-2&amp;" год). "</f>
        <v>#REF!</v>
      </c>
      <c r="AC336" s="896"/>
      <c r="AD336" s="896"/>
      <c r="AE336" s="896"/>
      <c r="AF336" s="896"/>
      <c r="AG336" s="896"/>
      <c r="AH336" s="896"/>
      <c r="AI336" s="896"/>
      <c r="AJ336" s="896"/>
      <c r="AK336" s="896"/>
      <c r="AL336" s="896"/>
      <c r="AM336" s="896"/>
      <c r="AN336" s="896"/>
      <c r="AO336" s="896"/>
      <c r="AP336" s="896"/>
      <c r="AQ336" s="896"/>
    </row>
    <row r="337" spans="4:43" ht="33.75" customHeight="1" outlineLevel="2">
      <c r="D337" s="1">
        <v>45</v>
      </c>
      <c r="AB337" s="896" t="str">
        <f>"Для определения экономически обоснованных расходов на оплату труда экспертами принимаются во внимание статистические данные о среднемесячной заработной плате по "&amp;Титульный!AC23&amp;" в электроэнергетике за "&amp;PRD-2&amp;" год. Среднемесячная заработная плата на предприятии укладывается в рамки среднестатистической"</f>
        <v>Для определения экономически обоснованных расходов на оплату труда экспертами принимаются во внимание статистические данные о среднемесячной заработной плате по Республика Алтай в электроэнергетике за 2024 год. Среднемесячная заработная плата на предприятии укладывается в рамки среднестатистической</v>
      </c>
      <c r="AC337" s="896"/>
      <c r="AD337" s="896"/>
      <c r="AE337" s="896"/>
      <c r="AF337" s="896"/>
      <c r="AG337" s="896"/>
      <c r="AH337" s="896"/>
      <c r="AI337" s="896"/>
      <c r="AJ337" s="896"/>
      <c r="AK337" s="896"/>
      <c r="AL337" s="896"/>
      <c r="AM337" s="896"/>
      <c r="AN337" s="896"/>
      <c r="AO337" s="896"/>
      <c r="AP337" s="896"/>
      <c r="AQ337" s="896"/>
    </row>
    <row r="338" spans="4:43" ht="31.5" customHeight="1" outlineLevel="2">
      <c r="D338" s="1">
        <v>42</v>
      </c>
      <c r="AB338" s="896" t="s">
        <v>1462</v>
      </c>
      <c r="AC338" s="896"/>
      <c r="AD338" s="896"/>
      <c r="AE338" s="896"/>
      <c r="AF338" s="896"/>
      <c r="AG338" s="896"/>
      <c r="AH338" s="896"/>
      <c r="AI338" s="896"/>
      <c r="AJ338" s="896"/>
      <c r="AK338" s="896"/>
      <c r="AL338" s="896"/>
      <c r="AM338" s="896"/>
      <c r="AN338" s="896"/>
      <c r="AO338" s="896"/>
      <c r="AP338" s="896"/>
      <c r="AQ338" s="896"/>
    </row>
    <row r="339" spans="4:43" ht="23.25" customHeight="1" outlineLevel="2">
      <c r="D339" s="1">
        <v>31</v>
      </c>
      <c r="AB339" s="896" t="str">
        <f>"Для определения экономически обоснованных расходов на оплату труда на "&amp;PRD&amp;" год экспертами принимаются: "</f>
        <v xml:space="preserve">Для определения экономически обоснованных расходов на оплату труда на 2026 год экспертами принимаются: </v>
      </c>
      <c r="AC339" s="896"/>
      <c r="AD339" s="896"/>
      <c r="AE339" s="896"/>
      <c r="AF339" s="896"/>
      <c r="AG339" s="896"/>
      <c r="AH339" s="896"/>
      <c r="AI339" s="896"/>
      <c r="AJ339" s="896"/>
      <c r="AK339" s="896"/>
      <c r="AL339" s="896"/>
      <c r="AM339" s="896"/>
      <c r="AN339" s="896"/>
      <c r="AO339" s="896"/>
      <c r="AP339" s="896"/>
      <c r="AQ339" s="896"/>
    </row>
    <row r="340" spans="4:43" ht="21.75" customHeight="1" outlineLevel="2">
      <c r="D340" s="1">
        <v>29</v>
      </c>
      <c r="AB340" s="892" t="s">
        <v>1463</v>
      </c>
      <c r="AC340" s="781"/>
      <c r="AD340" s="781"/>
      <c r="AE340" s="781"/>
      <c r="AF340" s="931"/>
      <c r="AG340" s="328" t="e">
        <f>ROUNDDOWN(#REF!,0)</f>
        <v>#REF!</v>
      </c>
    </row>
    <row r="341" spans="4:43" ht="21.75" customHeight="1" outlineLevel="2">
      <c r="D341" s="1">
        <v>29</v>
      </c>
      <c r="AB341" s="892" t="s">
        <v>1464</v>
      </c>
      <c r="AC341" s="781"/>
      <c r="AD341" s="781"/>
      <c r="AE341" s="781"/>
      <c r="AF341" s="931"/>
      <c r="AG341" s="321">
        <f>IFERROR(#REF!/'ЭЗ ДПР c уч.421'!AG340/12,0)</f>
        <v>0</v>
      </c>
      <c r="AH341" s="932" t="str">
        <f>" (статистические данные о среднемесячной заработной плате по "&amp;REGION_NAME&amp;" в электроэнергетике за "&amp;PRD-2&amp;" год). "</f>
        <v xml:space="preserve"> (статистические данные о среднемесячной заработной плате по Республика Алтай в электроэнергетике за 2024 год). </v>
      </c>
      <c r="AI341" s="781"/>
      <c r="AJ341" s="781"/>
      <c r="AK341" s="781"/>
      <c r="AL341" s="781"/>
      <c r="AM341" s="781"/>
      <c r="AN341" s="781"/>
      <c r="AO341" s="781"/>
      <c r="AP341" s="781"/>
      <c r="AQ341" s="781"/>
    </row>
    <row r="342" spans="4:43" ht="23.25" customHeight="1" outlineLevel="2">
      <c r="D342" s="1">
        <v>31</v>
      </c>
      <c r="AB342" s="896" t="e">
        <f>ROUND(AG341,2)&amp;" тыс.руб. х "&amp;AG340&amp;" чел. х 12 мес.= "&amp;ROUND((AG340*AG341*12),2)&amp;" тыс.руб."</f>
        <v>#REF!</v>
      </c>
      <c r="AC342" s="896"/>
      <c r="AD342" s="896"/>
      <c r="AE342" s="896"/>
      <c r="AF342" s="896"/>
      <c r="AG342" s="896"/>
      <c r="AH342" s="896"/>
      <c r="AI342" s="896"/>
      <c r="AJ342" s="896"/>
      <c r="AK342" s="896"/>
      <c r="AL342" s="896"/>
      <c r="AM342" s="896"/>
      <c r="AN342" s="896"/>
      <c r="AO342" s="896"/>
      <c r="AP342" s="896"/>
      <c r="AQ342" s="896"/>
    </row>
    <row r="343" spans="4:43" ht="23.25" customHeight="1" outlineLevel="2">
      <c r="D343" s="1">
        <v>31</v>
      </c>
      <c r="AB343" s="896" t="e">
        <f>"Таким образом, принимая во внимание вышеизложенные факторы, эксперты предлагают принять расходы на оплату труда в размере "&amp;ROUND(#REF!,2)&amp;" тыс. Руб"</f>
        <v>#REF!</v>
      </c>
      <c r="AC343" s="896"/>
      <c r="AD343" s="896"/>
      <c r="AE343" s="896"/>
      <c r="AF343" s="896"/>
      <c r="AG343" s="896"/>
      <c r="AH343" s="896"/>
      <c r="AI343" s="896"/>
      <c r="AJ343" s="896"/>
      <c r="AK343" s="896"/>
      <c r="AL343" s="896"/>
      <c r="AM343" s="896"/>
      <c r="AN343" s="896"/>
      <c r="AO343" s="896"/>
      <c r="AP343" s="896"/>
      <c r="AQ343" s="896"/>
    </row>
    <row r="344" spans="4:43" ht="33.75" customHeight="1">
      <c r="D344" s="1">
        <v>45</v>
      </c>
    </row>
    <row r="345" spans="4:43" ht="21" customHeight="1" outlineLevel="1">
      <c r="D345" s="1">
        <v>28</v>
      </c>
      <c r="AA345" s="781"/>
      <c r="AB345" s="898" t="s">
        <v>1465</v>
      </c>
      <c r="AC345" s="781"/>
      <c r="AD345" s="781"/>
      <c r="AE345" s="781"/>
      <c r="AF345" s="781"/>
      <c r="AG345" s="781"/>
      <c r="AH345" s="781"/>
      <c r="AI345" s="781"/>
      <c r="AJ345" s="781"/>
      <c r="AK345" s="781"/>
      <c r="AL345" s="781"/>
      <c r="AM345" s="781"/>
      <c r="AN345" s="781"/>
      <c r="AO345" s="781"/>
      <c r="AP345" s="781"/>
      <c r="AQ345" s="781"/>
    </row>
    <row r="346" spans="4:43" ht="48" customHeight="1" outlineLevel="1">
      <c r="D346" s="1">
        <v>64</v>
      </c>
      <c r="AA346" s="781"/>
      <c r="AB346" s="896" t="e">
        <f>"В соответствии с плановыми расчетами "&amp;AG27&amp;" расходы на ремонт основных средств составят – "&amp;ROUND(#REF!,2)&amp;" тыс.руб. Фактические (экономически обоснованные) расходы за "&amp;PRD-2&amp;" год составили "&amp;#REF!&amp;" тыс. руб. "</f>
        <v>#REF!</v>
      </c>
      <c r="AC346" s="896"/>
      <c r="AD346" s="896"/>
      <c r="AE346" s="896"/>
      <c r="AF346" s="896"/>
      <c r="AG346" s="896"/>
      <c r="AH346" s="896"/>
      <c r="AI346" s="896"/>
      <c r="AJ346" s="896"/>
      <c r="AK346" s="896"/>
      <c r="AL346" s="896"/>
      <c r="AM346" s="896"/>
      <c r="AN346" s="896"/>
      <c r="AO346" s="896"/>
      <c r="AP346" s="896"/>
      <c r="AQ346" s="896"/>
    </row>
    <row r="347" spans="4:43" ht="18" customHeight="1" outlineLevel="1">
      <c r="D347" s="1">
        <v>24</v>
      </c>
      <c r="AB347" s="896" t="str">
        <f>"В качестве обоснования расходов "&amp;AG27&amp;" были предоставлены:"</f>
        <v>В качестве обоснования расходов МУП "Горэлектросети" были предоставлены:</v>
      </c>
      <c r="AC347" s="896"/>
      <c r="AD347" s="896"/>
      <c r="AE347" s="896"/>
      <c r="AF347" s="896"/>
      <c r="AG347" s="896"/>
      <c r="AH347" s="896"/>
      <c r="AI347" s="896"/>
      <c r="AJ347" s="896"/>
      <c r="AK347" s="896"/>
      <c r="AL347" s="896"/>
      <c r="AM347" s="896"/>
      <c r="AN347" s="896"/>
      <c r="AO347" s="896"/>
      <c r="AP347" s="896"/>
      <c r="AQ347" s="896"/>
    </row>
    <row r="348" spans="4:43" ht="18" customHeight="1" outlineLevel="1">
      <c r="D348" s="1">
        <v>24</v>
      </c>
      <c r="AB348" s="896" t="s">
        <v>1466</v>
      </c>
      <c r="AC348" s="896"/>
      <c r="AD348" s="896"/>
      <c r="AE348" s="896"/>
      <c r="AF348" s="896"/>
      <c r="AG348" s="896"/>
      <c r="AH348" s="896"/>
      <c r="AI348" s="896"/>
      <c r="AJ348" s="896"/>
      <c r="AK348" s="896"/>
      <c r="AL348" s="896"/>
      <c r="AM348" s="896"/>
      <c r="AN348" s="896"/>
      <c r="AO348" s="896"/>
      <c r="AP348" s="896"/>
      <c r="AQ348" s="896"/>
    </row>
    <row r="349" spans="4:43" ht="18" customHeight="1" outlineLevel="1">
      <c r="D349" s="1">
        <v>24</v>
      </c>
      <c r="AB349" s="896" t="s">
        <v>1467</v>
      </c>
      <c r="AC349" s="896"/>
      <c r="AD349" s="896"/>
      <c r="AE349" s="896"/>
      <c r="AF349" s="896"/>
      <c r="AG349" s="896"/>
      <c r="AH349" s="896"/>
      <c r="AI349" s="896"/>
      <c r="AJ349" s="896"/>
      <c r="AK349" s="896"/>
      <c r="AL349" s="896"/>
      <c r="AM349" s="896"/>
      <c r="AN349" s="896"/>
      <c r="AO349" s="896"/>
      <c r="AP349" s="896"/>
      <c r="AQ349" s="896"/>
    </row>
    <row r="350" spans="4:43" ht="18" customHeight="1" outlineLevel="1">
      <c r="D350" s="1">
        <v>24</v>
      </c>
      <c r="AB350" s="896" t="s">
        <v>1468</v>
      </c>
      <c r="AC350" s="896"/>
      <c r="AD350" s="896"/>
      <c r="AE350" s="896"/>
      <c r="AF350" s="896"/>
      <c r="AG350" s="896"/>
      <c r="AH350" s="896"/>
      <c r="AI350" s="896"/>
      <c r="AJ350" s="896"/>
      <c r="AK350" s="896"/>
      <c r="AL350" s="896"/>
      <c r="AM350" s="896"/>
      <c r="AN350" s="896"/>
      <c r="AO350" s="896"/>
      <c r="AP350" s="896"/>
      <c r="AQ350" s="896"/>
    </row>
    <row r="351" spans="4:43" ht="18" customHeight="1" outlineLevel="1">
      <c r="D351" s="1">
        <v>24</v>
      </c>
      <c r="AB351" s="896"/>
      <c r="AC351" s="896"/>
      <c r="AD351" s="896"/>
      <c r="AE351" s="896"/>
      <c r="AF351" s="896"/>
      <c r="AG351" s="896"/>
      <c r="AH351" s="896"/>
      <c r="AI351" s="896"/>
      <c r="AJ351" s="896"/>
      <c r="AK351" s="896"/>
      <c r="AL351" s="896"/>
      <c r="AM351" s="896"/>
      <c r="AN351" s="896"/>
      <c r="AO351" s="896"/>
      <c r="AP351" s="896"/>
      <c r="AQ351" s="896"/>
    </row>
    <row r="352" spans="4:43" ht="18" customHeight="1" outlineLevel="1">
      <c r="D352" s="1">
        <v>24</v>
      </c>
      <c r="AB352" s="896"/>
      <c r="AC352" s="896"/>
      <c r="AD352" s="896"/>
      <c r="AE352" s="896"/>
      <c r="AF352" s="896"/>
      <c r="AG352" s="896"/>
      <c r="AH352" s="896"/>
      <c r="AI352" s="896"/>
      <c r="AJ352" s="896"/>
      <c r="AK352" s="896"/>
      <c r="AL352" s="896"/>
      <c r="AM352" s="896"/>
      <c r="AN352" s="896"/>
      <c r="AO352" s="896"/>
      <c r="AP352" s="896"/>
      <c r="AQ352" s="896"/>
    </row>
    <row r="353" spans="4:43" ht="18" customHeight="1" outlineLevel="1">
      <c r="D353" s="1">
        <v>24</v>
      </c>
      <c r="AB353" s="896"/>
      <c r="AC353" s="896"/>
      <c r="AD353" s="896"/>
      <c r="AE353" s="896"/>
      <c r="AF353" s="896"/>
      <c r="AG353" s="896"/>
      <c r="AH353" s="896"/>
      <c r="AI353" s="896"/>
      <c r="AJ353" s="896"/>
      <c r="AK353" s="896"/>
      <c r="AL353" s="896"/>
      <c r="AM353" s="896"/>
      <c r="AN353" s="896"/>
      <c r="AO353" s="896"/>
      <c r="AP353" s="896"/>
      <c r="AQ353" s="896"/>
    </row>
    <row r="354" spans="4:43" ht="18" customHeight="1" outlineLevel="1">
      <c r="D354" s="1">
        <v>24</v>
      </c>
      <c r="AB354" s="896"/>
      <c r="AC354" s="896"/>
      <c r="AD354" s="896"/>
      <c r="AE354" s="896"/>
      <c r="AF354" s="896"/>
      <c r="AG354" s="896"/>
      <c r="AH354" s="896"/>
      <c r="AI354" s="896"/>
      <c r="AJ354" s="896"/>
      <c r="AK354" s="896"/>
      <c r="AL354" s="896"/>
      <c r="AM354" s="896"/>
      <c r="AN354" s="896"/>
      <c r="AO354" s="896"/>
      <c r="AP354" s="896"/>
      <c r="AQ354" s="896"/>
    </row>
    <row r="355" spans="4:43" ht="33" customHeight="1" outlineLevel="1">
      <c r="D355" s="1">
        <v>44</v>
      </c>
      <c r="AB355" s="896" t="s">
        <v>1452</v>
      </c>
      <c r="AC355" s="896"/>
      <c r="AD355" s="896"/>
      <c r="AE355" s="896"/>
      <c r="AF355" s="896"/>
      <c r="AG355" s="896"/>
      <c r="AH355" s="896"/>
      <c r="AI355" s="896"/>
      <c r="AJ355" s="896"/>
      <c r="AK355" s="896"/>
      <c r="AL355" s="896"/>
      <c r="AM355" s="896"/>
      <c r="AN355" s="896"/>
      <c r="AO355" s="896"/>
      <c r="AP355" s="896"/>
      <c r="AQ355" s="896"/>
    </row>
    <row r="356" spans="4:43" ht="42" customHeight="1" outlineLevel="1">
      <c r="D356" s="1">
        <v>56</v>
      </c>
      <c r="AB356" s="896" t="e">
        <f>"Проанализировав представленные для обоснования данной статьи расшифровки и документы, а также фактические затраты  за "&amp;PRD-2&amp;" год, эксперты предлагают считать достаточным для данного сетевого хозяйства расходы на ремонт основных средств в размере "&amp;ROUND(#REF!,2)&amp;" тыс. руб. "</f>
        <v>#REF!</v>
      </c>
      <c r="AC356" s="896"/>
      <c r="AD356" s="896"/>
      <c r="AE356" s="896"/>
      <c r="AF356" s="896"/>
      <c r="AG356" s="896"/>
      <c r="AH356" s="896"/>
      <c r="AI356" s="896"/>
      <c r="AJ356" s="896"/>
      <c r="AK356" s="896"/>
      <c r="AL356" s="896"/>
      <c r="AM356" s="896"/>
      <c r="AN356" s="896"/>
      <c r="AO356" s="896"/>
      <c r="AP356" s="896"/>
      <c r="AQ356" s="896"/>
    </row>
    <row r="357" spans="4:43" ht="19.5" customHeight="1" outlineLevel="1">
      <c r="D357" s="1">
        <v>26</v>
      </c>
      <c r="AB357" s="896"/>
      <c r="AC357" s="896"/>
      <c r="AD357" s="896"/>
      <c r="AE357" s="896"/>
      <c r="AF357" s="896"/>
      <c r="AG357" s="896"/>
      <c r="AH357" s="896"/>
      <c r="AI357" s="896"/>
      <c r="AJ357" s="896"/>
      <c r="AK357" s="896"/>
      <c r="AL357" s="896"/>
      <c r="AM357" s="896"/>
      <c r="AN357" s="896"/>
      <c r="AO357" s="896"/>
      <c r="AP357" s="896"/>
      <c r="AQ357" s="896"/>
    </row>
    <row r="358" spans="4:43" ht="33" customHeight="1" outlineLevel="1">
      <c r="D358" s="1">
        <v>44</v>
      </c>
      <c r="AB358" s="896"/>
      <c r="AC358" s="896"/>
      <c r="AD358" s="896"/>
      <c r="AE358" s="896"/>
      <c r="AF358" s="896"/>
      <c r="AG358" s="896"/>
      <c r="AH358" s="896"/>
      <c r="AI358" s="896"/>
      <c r="AJ358" s="896"/>
      <c r="AK358" s="896"/>
      <c r="AL358" s="896"/>
      <c r="AM358" s="896"/>
      <c r="AN358" s="896"/>
      <c r="AO358" s="896"/>
      <c r="AP358" s="896"/>
      <c r="AQ358" s="896"/>
    </row>
    <row r="359" spans="4:43" ht="19.5" customHeight="1" outlineLevel="1">
      <c r="D359" s="1">
        <v>26</v>
      </c>
      <c r="AB359" s="896"/>
      <c r="AC359" s="896"/>
      <c r="AD359" s="896"/>
      <c r="AE359" s="896"/>
      <c r="AF359" s="896"/>
      <c r="AG359" s="896"/>
      <c r="AH359" s="896"/>
      <c r="AI359" s="896"/>
      <c r="AJ359" s="896"/>
      <c r="AK359" s="896"/>
      <c r="AL359" s="896"/>
      <c r="AM359" s="896"/>
      <c r="AN359" s="896"/>
      <c r="AO359" s="896"/>
      <c r="AP359" s="896"/>
      <c r="AQ359" s="896"/>
    </row>
    <row r="360" spans="4:43" ht="19.5" customHeight="1">
      <c r="D360">
        <v>26</v>
      </c>
      <c r="AB360" s="781"/>
      <c r="AC360" s="781"/>
      <c r="AD360" s="781"/>
      <c r="AE360" s="781"/>
      <c r="AF360" s="781"/>
      <c r="AG360" s="781"/>
      <c r="AH360" s="781"/>
      <c r="AI360" s="781"/>
      <c r="AJ360" s="781"/>
      <c r="AK360" s="781"/>
      <c r="AL360" s="781"/>
      <c r="AM360" s="781"/>
      <c r="AN360" s="781"/>
      <c r="AO360" s="781"/>
      <c r="AP360" s="781"/>
      <c r="AQ360" s="781"/>
    </row>
    <row r="361" spans="4:43" ht="21" customHeight="1" outlineLevel="1">
      <c r="D361" s="1">
        <v>28</v>
      </c>
      <c r="AA361" s="781"/>
      <c r="AB361" s="898" t="s">
        <v>1469</v>
      </c>
      <c r="AC361" s="781"/>
      <c r="AD361" s="781"/>
      <c r="AE361" s="781"/>
      <c r="AF361" s="781"/>
      <c r="AG361" s="781"/>
      <c r="AH361" s="781"/>
      <c r="AI361" s="781"/>
      <c r="AJ361" s="781"/>
      <c r="AK361" s="781"/>
      <c r="AL361" s="781"/>
      <c r="AM361" s="781"/>
      <c r="AN361" s="781"/>
      <c r="AO361" s="781"/>
      <c r="AP361" s="781"/>
      <c r="AQ361" s="781"/>
    </row>
    <row r="362" spans="4:43" ht="33.75" customHeight="1" outlineLevel="1">
      <c r="D362" s="1">
        <v>45</v>
      </c>
      <c r="AA362" s="781"/>
      <c r="AB362" s="896" t="s">
        <v>1470</v>
      </c>
      <c r="AC362" s="896"/>
      <c r="AD362" s="896"/>
      <c r="AE362" s="896"/>
      <c r="AF362" s="896"/>
      <c r="AG362" s="896"/>
      <c r="AH362" s="896"/>
      <c r="AI362" s="896"/>
      <c r="AJ362" s="896"/>
      <c r="AK362" s="896"/>
      <c r="AL362" s="896"/>
      <c r="AM362" s="896"/>
      <c r="AN362" s="896"/>
      <c r="AO362" s="896"/>
      <c r="AP362" s="896"/>
      <c r="AQ362" s="896"/>
    </row>
    <row r="363" spans="4:43" ht="79.5" customHeight="1" outlineLevel="1">
      <c r="D363" s="1">
        <v>106</v>
      </c>
      <c r="AB363" s="896" t="s">
        <v>1471</v>
      </c>
      <c r="AC363" s="896"/>
      <c r="AD363" s="896"/>
      <c r="AE363" s="896"/>
      <c r="AF363" s="896"/>
      <c r="AG363" s="896"/>
      <c r="AH363" s="896"/>
      <c r="AI363" s="896"/>
      <c r="AJ363" s="896"/>
      <c r="AK363" s="896"/>
      <c r="AL363" s="896"/>
      <c r="AM363" s="896"/>
      <c r="AN363" s="896"/>
      <c r="AO363" s="896"/>
      <c r="AP363" s="896"/>
      <c r="AQ363" s="896"/>
    </row>
    <row r="364" spans="4:43" ht="33.75" customHeight="1" outlineLevel="1">
      <c r="D364" s="1">
        <v>45</v>
      </c>
      <c r="AB364" s="896" t="s">
        <v>1472</v>
      </c>
      <c r="AC364" s="896"/>
      <c r="AD364" s="896"/>
      <c r="AE364" s="896"/>
      <c r="AF364" s="896"/>
      <c r="AG364" s="896"/>
      <c r="AH364" s="896"/>
      <c r="AI364" s="896"/>
      <c r="AJ364" s="896"/>
      <c r="AK364" s="896"/>
      <c r="AL364" s="896"/>
      <c r="AM364" s="896"/>
      <c r="AN364" s="896"/>
      <c r="AO364" s="896"/>
      <c r="AP364" s="896"/>
      <c r="AQ364" s="896"/>
    </row>
    <row r="365" spans="4:43" ht="135" customHeight="1" outlineLevel="1">
      <c r="D365" s="1">
        <v>180</v>
      </c>
      <c r="AB365" s="896"/>
      <c r="AC365" s="896"/>
      <c r="AD365" s="896"/>
      <c r="AE365" s="896"/>
      <c r="AF365" s="896"/>
      <c r="AG365" s="896"/>
      <c r="AH365" s="896"/>
      <c r="AI365" s="896"/>
      <c r="AJ365" s="896"/>
      <c r="AK365" s="896"/>
      <c r="AL365" s="896"/>
      <c r="AM365" s="896"/>
      <c r="AN365" s="896"/>
      <c r="AO365" s="896"/>
      <c r="AP365" s="896"/>
      <c r="AQ365" s="896"/>
    </row>
    <row r="366" spans="4:43" ht="143.25" customHeight="1" outlineLevel="1">
      <c r="D366" s="1">
        <v>191</v>
      </c>
      <c r="AB366" s="896" t="s">
        <v>1473</v>
      </c>
      <c r="AC366" s="896"/>
      <c r="AD366" s="896"/>
      <c r="AE366" s="896"/>
      <c r="AF366" s="896"/>
      <c r="AG366" s="896"/>
      <c r="AH366" s="896"/>
      <c r="AI366" s="896"/>
      <c r="AJ366" s="896"/>
      <c r="AK366" s="896"/>
      <c r="AL366" s="896"/>
      <c r="AM366" s="896"/>
      <c r="AN366" s="896"/>
      <c r="AO366" s="896"/>
      <c r="AP366" s="896"/>
      <c r="AQ366" s="896"/>
    </row>
    <row r="367" spans="4:43" ht="19.5" customHeight="1" outlineLevel="1">
      <c r="D367" s="1">
        <v>26</v>
      </c>
      <c r="AB367" s="896"/>
      <c r="AC367" s="896"/>
      <c r="AD367" s="896"/>
      <c r="AE367" s="896"/>
      <c r="AF367" s="896"/>
      <c r="AG367" s="896"/>
      <c r="AH367" s="896"/>
      <c r="AI367" s="896"/>
      <c r="AJ367" s="896"/>
      <c r="AK367" s="896"/>
      <c r="AL367" s="896"/>
      <c r="AM367" s="896"/>
      <c r="AN367" s="896"/>
      <c r="AO367" s="896"/>
      <c r="AP367" s="896"/>
      <c r="AQ367" s="896"/>
    </row>
    <row r="368" spans="4:43" ht="19.5" customHeight="1" outlineLevel="1">
      <c r="D368" s="1">
        <v>26</v>
      </c>
      <c r="AB368" s="896"/>
      <c r="AC368" s="896"/>
      <c r="AD368" s="896"/>
      <c r="AE368" s="896"/>
      <c r="AF368" s="896"/>
      <c r="AG368" s="896"/>
      <c r="AH368" s="896"/>
      <c r="AI368" s="896"/>
      <c r="AJ368" s="896"/>
      <c r="AK368" s="896"/>
      <c r="AL368" s="896"/>
      <c r="AM368" s="896"/>
      <c r="AN368" s="896"/>
      <c r="AO368" s="896"/>
      <c r="AP368" s="896"/>
      <c r="AQ368" s="896"/>
    </row>
    <row r="369" spans="4:43" ht="19.5" customHeight="1" outlineLevel="1">
      <c r="D369" s="1">
        <v>26</v>
      </c>
      <c r="AB369" s="896"/>
      <c r="AC369" s="896"/>
      <c r="AD369" s="896"/>
      <c r="AE369" s="896"/>
      <c r="AF369" s="896"/>
      <c r="AG369" s="896"/>
      <c r="AH369" s="896"/>
      <c r="AI369" s="896"/>
      <c r="AJ369" s="896"/>
      <c r="AK369" s="896"/>
      <c r="AL369" s="896"/>
      <c r="AM369" s="896"/>
      <c r="AN369" s="896"/>
      <c r="AO369" s="896"/>
      <c r="AP369" s="896"/>
      <c r="AQ369" s="896"/>
    </row>
    <row r="370" spans="4:43" ht="24" customHeight="1" outlineLevel="1">
      <c r="D370" s="1">
        <v>32</v>
      </c>
      <c r="AB370" s="896" t="e">
        <f>AG27&amp;" планирует по статье «Оплата работ и услуг сторонних организаций» на "&amp;PRD&amp;" год "&amp;ROUND(#REF!,2)&amp;" тыс.руб. Фактические расходы за "&amp;PRD-2&amp;" год составили."&amp;ROUND(#REF!,2)&amp;" тыс.руб."</f>
        <v>#REF!</v>
      </c>
      <c r="AC370" s="896"/>
      <c r="AD370" s="896"/>
      <c r="AE370" s="896"/>
      <c r="AF370" s="896"/>
      <c r="AG370" s="896"/>
      <c r="AH370" s="896"/>
      <c r="AI370" s="896"/>
      <c r="AJ370" s="896"/>
      <c r="AK370" s="896"/>
      <c r="AL370" s="896"/>
      <c r="AM370" s="896"/>
      <c r="AN370" s="896"/>
      <c r="AO370" s="896"/>
      <c r="AP370" s="896"/>
      <c r="AQ370" s="896"/>
    </row>
    <row r="371" spans="4:43" ht="24" customHeight="1" outlineLevel="1">
      <c r="D371" s="1">
        <v>32</v>
      </c>
      <c r="AC371" s="970"/>
      <c r="AD371" s="971"/>
      <c r="AE371" s="971"/>
      <c r="AF371" s="971"/>
      <c r="AG371" s="972"/>
      <c r="AH371" s="329">
        <f>PRD</f>
        <v>2026</v>
      </c>
      <c r="AI371" s="329">
        <f>PRD</f>
        <v>2026</v>
      </c>
      <c r="AJ371" s="920" t="s">
        <v>941</v>
      </c>
      <c r="AK371" s="921"/>
      <c r="AL371" s="922" t="s">
        <v>1474</v>
      </c>
      <c r="AM371" s="923"/>
      <c r="AN371" s="923"/>
      <c r="AO371" s="923"/>
      <c r="AP371" s="923"/>
      <c r="AQ371" s="924"/>
    </row>
    <row r="372" spans="4:43" ht="33.75" customHeight="1" outlineLevel="1">
      <c r="D372" s="1">
        <v>45</v>
      </c>
      <c r="AC372" s="973"/>
      <c r="AD372" s="974"/>
      <c r="AE372" s="974"/>
      <c r="AF372" s="974"/>
      <c r="AG372" s="975"/>
      <c r="AH372" s="325" t="s">
        <v>943</v>
      </c>
      <c r="AI372" s="313" t="s">
        <v>755</v>
      </c>
      <c r="AJ372" s="313" t="s">
        <v>633</v>
      </c>
      <c r="AK372" s="313" t="s">
        <v>1475</v>
      </c>
      <c r="AL372" s="925"/>
      <c r="AM372" s="926"/>
      <c r="AN372" s="926"/>
      <c r="AO372" s="926"/>
      <c r="AP372" s="926"/>
      <c r="AQ372" s="927"/>
    </row>
    <row r="373" spans="4:43" ht="36" customHeight="1" outlineLevel="1">
      <c r="D373" s="1">
        <v>48</v>
      </c>
      <c r="AC373" s="928" t="s">
        <v>964</v>
      </c>
      <c r="AD373" s="929"/>
      <c r="AE373" s="929"/>
      <c r="AF373" s="930"/>
      <c r="AG373" s="323" t="s">
        <v>619</v>
      </c>
      <c r="AH373" s="321">
        <f>IFERROR(#REF!,0)</f>
        <v>0</v>
      </c>
      <c r="AI373" s="321">
        <f>IFERROR(#REF!,0)</f>
        <v>0</v>
      </c>
      <c r="AJ373" s="330" t="str">
        <f t="shared" ref="AJ373:AJ379" si="5">IFERROR(IF(AH373=0,"-",AI373/AH373),0)</f>
        <v>-</v>
      </c>
      <c r="AK373" s="321">
        <f t="shared" ref="AK373:AK379" si="6">IFERROR(AI373-AH373,0)</f>
        <v>0</v>
      </c>
      <c r="AL373" s="1003" t="e">
        <f>IF(#REF!="","",#REF!)</f>
        <v>#REF!</v>
      </c>
      <c r="AM373" s="1004"/>
      <c r="AN373" s="1004"/>
      <c r="AO373" s="1004"/>
      <c r="AP373" s="1004"/>
      <c r="AQ373" s="1005"/>
    </row>
    <row r="374" spans="4:43" ht="27" customHeight="1" outlineLevel="1">
      <c r="D374" s="1">
        <v>36</v>
      </c>
      <c r="AC374" s="909" t="s">
        <v>965</v>
      </c>
      <c r="AD374" s="910"/>
      <c r="AE374" s="910"/>
      <c r="AF374" s="911"/>
      <c r="AG374" s="312" t="s">
        <v>619</v>
      </c>
      <c r="AH374" s="321">
        <f>IFERROR(#REF!,0)</f>
        <v>0</v>
      </c>
      <c r="AI374" s="321">
        <f>IFERROR(#REF!,0)</f>
        <v>0</v>
      </c>
      <c r="AJ374" s="330" t="str">
        <f t="shared" si="5"/>
        <v>-</v>
      </c>
      <c r="AK374" s="333">
        <f t="shared" si="6"/>
        <v>0</v>
      </c>
      <c r="AL374" s="908" t="e">
        <f>IF(#REF!="","",#REF!)</f>
        <v>#REF!</v>
      </c>
      <c r="AM374" s="908"/>
      <c r="AN374" s="908"/>
      <c r="AO374" s="908"/>
      <c r="AP374" s="908"/>
      <c r="AQ374" s="908"/>
    </row>
    <row r="375" spans="4:43" ht="31.5" customHeight="1" outlineLevel="1">
      <c r="D375" s="1">
        <v>42</v>
      </c>
      <c r="AC375" s="909" t="s">
        <v>1476</v>
      </c>
      <c r="AD375" s="910"/>
      <c r="AE375" s="910"/>
      <c r="AF375" s="911"/>
      <c r="AG375" s="312" t="s">
        <v>619</v>
      </c>
      <c r="AH375" s="321">
        <f>IFERROR(#REF!,0)</f>
        <v>0</v>
      </c>
      <c r="AI375" s="321">
        <f>IFERROR(#REF!,0)</f>
        <v>0</v>
      </c>
      <c r="AJ375" s="330" t="str">
        <f t="shared" si="5"/>
        <v>-</v>
      </c>
      <c r="AK375" s="333">
        <f t="shared" si="6"/>
        <v>0</v>
      </c>
      <c r="AL375" s="908" t="e">
        <f>IF(#REF!="","",#REF!)</f>
        <v>#REF!</v>
      </c>
      <c r="AM375" s="908"/>
      <c r="AN375" s="908"/>
      <c r="AO375" s="908"/>
      <c r="AP375" s="908"/>
      <c r="AQ375" s="908"/>
    </row>
    <row r="376" spans="4:43" ht="31.5" customHeight="1" outlineLevel="1">
      <c r="D376" s="1">
        <v>42</v>
      </c>
      <c r="AC376" s="909" t="s">
        <v>966</v>
      </c>
      <c r="AD376" s="910"/>
      <c r="AE376" s="910"/>
      <c r="AF376" s="911"/>
      <c r="AG376" s="312" t="s">
        <v>619</v>
      </c>
      <c r="AH376" s="321">
        <f>IFERROR(#REF!,0)</f>
        <v>0</v>
      </c>
      <c r="AI376" s="321">
        <f>IFERROR(#REF!,0)</f>
        <v>0</v>
      </c>
      <c r="AJ376" s="330" t="str">
        <f t="shared" si="5"/>
        <v>-</v>
      </c>
      <c r="AK376" s="333">
        <f t="shared" si="6"/>
        <v>0</v>
      </c>
      <c r="AL376" s="908" t="e">
        <f>IF(#REF!="","",#REF!)</f>
        <v>#REF!</v>
      </c>
      <c r="AM376" s="908"/>
      <c r="AN376" s="908"/>
      <c r="AO376" s="908"/>
      <c r="AP376" s="908"/>
      <c r="AQ376" s="908"/>
    </row>
    <row r="377" spans="4:43" ht="33.75" customHeight="1" outlineLevel="1">
      <c r="D377" s="1">
        <v>45</v>
      </c>
      <c r="AC377" s="909" t="s">
        <v>967</v>
      </c>
      <c r="AD377" s="910"/>
      <c r="AE377" s="910"/>
      <c r="AF377" s="911"/>
      <c r="AG377" s="312" t="s">
        <v>619</v>
      </c>
      <c r="AH377" s="321">
        <f>IFERROR(#REF!,0)</f>
        <v>0</v>
      </c>
      <c r="AI377" s="321">
        <f>IFERROR(#REF!,0)</f>
        <v>0</v>
      </c>
      <c r="AJ377" s="330" t="str">
        <f t="shared" si="5"/>
        <v>-</v>
      </c>
      <c r="AK377" s="333">
        <f t="shared" si="6"/>
        <v>0</v>
      </c>
      <c r="AL377" s="908" t="e">
        <f>IF(#REF!="","",#REF!)</f>
        <v>#REF!</v>
      </c>
      <c r="AM377" s="908"/>
      <c r="AN377" s="908"/>
      <c r="AO377" s="908"/>
      <c r="AP377" s="908"/>
      <c r="AQ377" s="908"/>
    </row>
    <row r="378" spans="4:43" ht="33.75" customHeight="1" outlineLevel="1">
      <c r="D378" s="1">
        <v>45</v>
      </c>
      <c r="AC378" s="909" t="s">
        <v>968</v>
      </c>
      <c r="AD378" s="910"/>
      <c r="AE378" s="910"/>
      <c r="AF378" s="911"/>
      <c r="AG378" s="312" t="s">
        <v>619</v>
      </c>
      <c r="AH378" s="321">
        <f>IFERROR(#REF!,0)</f>
        <v>0</v>
      </c>
      <c r="AI378" s="321">
        <f>IFERROR(#REF!,0)</f>
        <v>0</v>
      </c>
      <c r="AJ378" s="330" t="str">
        <f t="shared" si="5"/>
        <v>-</v>
      </c>
      <c r="AK378" s="333">
        <f t="shared" si="6"/>
        <v>0</v>
      </c>
      <c r="AL378" s="908" t="e">
        <f>IF(#REF!="","",#REF!)</f>
        <v>#REF!</v>
      </c>
      <c r="AM378" s="908"/>
      <c r="AN378" s="908"/>
      <c r="AO378" s="908"/>
      <c r="AP378" s="908"/>
      <c r="AQ378" s="908"/>
    </row>
    <row r="379" spans="4:43" ht="33.75" customHeight="1" outlineLevel="1">
      <c r="D379" s="1">
        <v>45</v>
      </c>
      <c r="AC379" s="909" t="s">
        <v>969</v>
      </c>
      <c r="AD379" s="910"/>
      <c r="AE379" s="910"/>
      <c r="AF379" s="911"/>
      <c r="AG379" s="312" t="s">
        <v>619</v>
      </c>
      <c r="AH379" s="321">
        <f>IFERROR(#REF!,0)</f>
        <v>0</v>
      </c>
      <c r="AI379" s="321">
        <f>IFERROR(#REF!,0)</f>
        <v>0</v>
      </c>
      <c r="AJ379" s="330" t="str">
        <f t="shared" si="5"/>
        <v>-</v>
      </c>
      <c r="AK379" s="333">
        <f t="shared" si="6"/>
        <v>0</v>
      </c>
      <c r="AL379" s="908" t="e">
        <f>IF(#REF!="","",#REF!)</f>
        <v>#REF!</v>
      </c>
      <c r="AM379" s="908"/>
      <c r="AN379" s="908"/>
      <c r="AO379" s="908"/>
      <c r="AP379" s="908"/>
      <c r="AQ379" s="908"/>
    </row>
    <row r="380" spans="4:43" ht="24" customHeight="1" outlineLevel="1">
      <c r="D380" s="1">
        <v>32</v>
      </c>
    </row>
    <row r="381" spans="4:43" ht="30" customHeight="1" outlineLevel="1">
      <c r="D381" s="1">
        <v>40</v>
      </c>
      <c r="AB381" s="896" t="s">
        <v>1477</v>
      </c>
      <c r="AC381" s="896"/>
      <c r="AD381" s="896"/>
      <c r="AE381" s="896"/>
      <c r="AF381" s="896"/>
      <c r="AG381" s="896"/>
      <c r="AH381" s="896"/>
      <c r="AI381" s="896"/>
      <c r="AJ381" s="896"/>
      <c r="AK381" s="896"/>
      <c r="AL381" s="896"/>
      <c r="AM381" s="896"/>
      <c r="AN381" s="896"/>
      <c r="AO381" s="896"/>
      <c r="AP381" s="896"/>
      <c r="AQ381" s="896"/>
    </row>
    <row r="382" spans="4:43" ht="42" customHeight="1" outlineLevel="1">
      <c r="D382" s="1">
        <v>56</v>
      </c>
      <c r="AB382" s="894" t="e">
        <f>"Расходы по статье Оплата работ и услуг сторонних организаций принимаются экспертами в размере "&amp;ROUND(#REF!,2)&amp;" тыс.руб."</f>
        <v>#REF!</v>
      </c>
      <c r="AC382" s="894"/>
      <c r="AD382" s="894"/>
      <c r="AE382" s="894"/>
      <c r="AF382" s="894"/>
      <c r="AG382" s="894"/>
      <c r="AH382" s="894"/>
      <c r="AI382" s="894"/>
      <c r="AJ382" s="894"/>
      <c r="AK382" s="894"/>
      <c r="AL382" s="894"/>
      <c r="AM382" s="894"/>
      <c r="AN382" s="894"/>
      <c r="AO382" s="894"/>
      <c r="AP382" s="894"/>
      <c r="AQ382" s="894"/>
    </row>
    <row r="383" spans="4:43" ht="19.5" customHeight="1" outlineLevel="1">
      <c r="D383" s="1">
        <v>26</v>
      </c>
      <c r="AB383" s="896"/>
      <c r="AC383" s="896"/>
      <c r="AD383" s="896"/>
      <c r="AE383" s="896"/>
      <c r="AF383" s="896"/>
      <c r="AG383" s="896"/>
      <c r="AH383" s="896"/>
      <c r="AI383" s="896"/>
      <c r="AJ383" s="896"/>
      <c r="AK383" s="896"/>
      <c r="AL383" s="896"/>
      <c r="AM383" s="896"/>
      <c r="AN383" s="896"/>
      <c r="AO383" s="896"/>
      <c r="AP383" s="896"/>
      <c r="AQ383" s="896"/>
    </row>
    <row r="384" spans="4:43" ht="42" customHeight="1" outlineLevel="1">
      <c r="D384" s="1">
        <v>56</v>
      </c>
      <c r="AB384" s="896"/>
      <c r="AC384" s="896"/>
      <c r="AD384" s="896"/>
      <c r="AE384" s="896"/>
      <c r="AF384" s="896"/>
      <c r="AG384" s="896"/>
      <c r="AH384" s="896"/>
      <c r="AI384" s="896"/>
      <c r="AJ384" s="896"/>
      <c r="AK384" s="896"/>
      <c r="AL384" s="896"/>
      <c r="AM384" s="896"/>
      <c r="AN384" s="896"/>
      <c r="AO384" s="896"/>
      <c r="AP384" s="896"/>
      <c r="AQ384" s="896"/>
    </row>
    <row r="385" spans="4:43" ht="28.5" hidden="1" customHeight="1">
      <c r="D385" s="1">
        <v>0</v>
      </c>
    </row>
    <row r="386" spans="4:43" ht="21" customHeight="1" outlineLevel="1">
      <c r="D386" s="1">
        <v>28</v>
      </c>
      <c r="AA386" s="781"/>
      <c r="AB386" s="898" t="s">
        <v>1478</v>
      </c>
      <c r="AC386" s="781"/>
      <c r="AD386" s="781"/>
      <c r="AE386" s="781"/>
      <c r="AF386" s="781"/>
      <c r="AG386" s="781"/>
      <c r="AH386" s="781"/>
      <c r="AI386" s="781"/>
      <c r="AJ386" s="781"/>
      <c r="AK386" s="781"/>
      <c r="AL386" s="781"/>
      <c r="AM386" s="781"/>
      <c r="AN386" s="781"/>
      <c r="AO386" s="781"/>
      <c r="AP386" s="781"/>
      <c r="AQ386" s="781"/>
    </row>
    <row r="387" spans="4:43" ht="33.75" customHeight="1" outlineLevel="1">
      <c r="D387" s="1">
        <v>45</v>
      </c>
      <c r="AA387" s="781"/>
      <c r="AB387" s="896" t="s">
        <v>1470</v>
      </c>
      <c r="AC387" s="896"/>
      <c r="AD387" s="896"/>
      <c r="AE387" s="896"/>
      <c r="AF387" s="896"/>
      <c r="AG387" s="896"/>
      <c r="AH387" s="896"/>
      <c r="AI387" s="896"/>
      <c r="AJ387" s="896"/>
      <c r="AK387" s="896"/>
      <c r="AL387" s="896"/>
      <c r="AM387" s="896"/>
      <c r="AN387" s="896"/>
      <c r="AO387" s="896"/>
      <c r="AP387" s="896"/>
      <c r="AQ387" s="896"/>
    </row>
    <row r="388" spans="4:43" ht="79.5" customHeight="1" outlineLevel="1">
      <c r="D388" s="1">
        <v>106</v>
      </c>
      <c r="AB388" s="896" t="s">
        <v>1471</v>
      </c>
      <c r="AC388" s="896"/>
      <c r="AD388" s="896"/>
      <c r="AE388" s="896"/>
      <c r="AF388" s="896"/>
      <c r="AG388" s="896"/>
      <c r="AH388" s="896"/>
      <c r="AI388" s="896"/>
      <c r="AJ388" s="896"/>
      <c r="AK388" s="896"/>
      <c r="AL388" s="896"/>
      <c r="AM388" s="896"/>
      <c r="AN388" s="896"/>
      <c r="AO388" s="896"/>
      <c r="AP388" s="896"/>
      <c r="AQ388" s="896"/>
    </row>
    <row r="389" spans="4:43" ht="33.75" customHeight="1" outlineLevel="1">
      <c r="D389" s="1">
        <v>45</v>
      </c>
      <c r="AB389" s="896" t="s">
        <v>1472</v>
      </c>
      <c r="AC389" s="896"/>
      <c r="AD389" s="896"/>
      <c r="AE389" s="896"/>
      <c r="AF389" s="896"/>
      <c r="AG389" s="896"/>
      <c r="AH389" s="896"/>
      <c r="AI389" s="896"/>
      <c r="AJ389" s="896"/>
      <c r="AK389" s="896"/>
      <c r="AL389" s="896"/>
      <c r="AM389" s="896"/>
      <c r="AN389" s="896"/>
      <c r="AO389" s="896"/>
      <c r="AP389" s="896"/>
      <c r="AQ389" s="896"/>
    </row>
    <row r="390" spans="4:43" ht="36" customHeight="1" outlineLevel="1">
      <c r="D390" s="1">
        <v>48</v>
      </c>
      <c r="AB390" s="896"/>
      <c r="AC390" s="896"/>
      <c r="AD390" s="896"/>
      <c r="AE390" s="896"/>
      <c r="AF390" s="896"/>
      <c r="AG390" s="896"/>
      <c r="AH390" s="896"/>
      <c r="AI390" s="896"/>
      <c r="AJ390" s="896"/>
      <c r="AK390" s="896"/>
      <c r="AL390" s="896"/>
      <c r="AM390" s="896"/>
      <c r="AN390" s="896"/>
      <c r="AO390" s="896"/>
      <c r="AP390" s="896"/>
      <c r="AQ390" s="896"/>
    </row>
    <row r="391" spans="4:43" ht="36" customHeight="1" outlineLevel="1">
      <c r="D391" s="1">
        <v>48</v>
      </c>
      <c r="AB391" s="896" t="s">
        <v>1473</v>
      </c>
      <c r="AC391" s="896"/>
      <c r="AD391" s="896"/>
      <c r="AE391" s="896"/>
      <c r="AF391" s="896"/>
      <c r="AG391" s="896"/>
      <c r="AH391" s="896"/>
      <c r="AI391" s="896"/>
      <c r="AJ391" s="896"/>
      <c r="AK391" s="896"/>
      <c r="AL391" s="896"/>
      <c r="AM391" s="896"/>
      <c r="AN391" s="896"/>
      <c r="AO391" s="896"/>
      <c r="AP391" s="896"/>
      <c r="AQ391" s="896"/>
    </row>
    <row r="392" spans="4:43" ht="36" customHeight="1" outlineLevel="1">
      <c r="D392" s="1">
        <v>48</v>
      </c>
      <c r="AB392" s="896" t="e">
        <f>AG27&amp;" планирует по статье «Расходы на командировки и представительские» на "&amp;PRD&amp;" год "&amp;ROUND(#REF!,2)&amp;" тыс.руб. Экономически обоснованные фактические расходы за "&amp;PRD-2&amp;" год составили."&amp;ROUND(#REF!,2)&amp;" тыс.руб."</f>
        <v>#REF!</v>
      </c>
      <c r="AC392" s="896"/>
      <c r="AD392" s="896"/>
      <c r="AE392" s="896"/>
      <c r="AF392" s="896"/>
      <c r="AG392" s="896"/>
      <c r="AH392" s="896"/>
      <c r="AI392" s="896"/>
      <c r="AJ392" s="896"/>
      <c r="AK392" s="896"/>
      <c r="AL392" s="896"/>
      <c r="AM392" s="896"/>
      <c r="AN392" s="896"/>
      <c r="AO392" s="896"/>
      <c r="AP392" s="896"/>
      <c r="AQ392" s="896"/>
    </row>
    <row r="393" spans="4:43" ht="36" customHeight="1" outlineLevel="1">
      <c r="D393" s="1">
        <v>48</v>
      </c>
      <c r="AB393" s="896" t="s">
        <v>1477</v>
      </c>
      <c r="AC393" s="896"/>
      <c r="AD393" s="896"/>
      <c r="AE393" s="896"/>
      <c r="AF393" s="896"/>
      <c r="AG393" s="896"/>
      <c r="AH393" s="896"/>
      <c r="AI393" s="896"/>
      <c r="AJ393" s="896"/>
      <c r="AK393" s="896"/>
      <c r="AL393" s="896"/>
      <c r="AM393" s="896"/>
      <c r="AN393" s="896"/>
      <c r="AO393" s="896"/>
      <c r="AP393" s="896"/>
      <c r="AQ393" s="896"/>
    </row>
    <row r="394" spans="4:43" ht="36" customHeight="1" outlineLevel="1">
      <c r="D394" s="1">
        <v>48</v>
      </c>
      <c r="AB394" s="896" t="e">
        <f>"Расходы по статье Расходы на командировки и представительские принимаются экспертами в размере "&amp;ROUND(#REF!,2)&amp;" тыс.руб."</f>
        <v>#REF!</v>
      </c>
      <c r="AC394" s="896"/>
      <c r="AD394" s="896"/>
      <c r="AE394" s="896"/>
      <c r="AF394" s="896"/>
      <c r="AG394" s="896"/>
      <c r="AH394" s="896"/>
      <c r="AI394" s="896"/>
      <c r="AJ394" s="896"/>
      <c r="AK394" s="896"/>
      <c r="AL394" s="896"/>
      <c r="AM394" s="896"/>
      <c r="AN394" s="896"/>
      <c r="AO394" s="896"/>
      <c r="AP394" s="896"/>
      <c r="AQ394" s="896"/>
    </row>
    <row r="395" spans="4:43" ht="24" customHeight="1">
      <c r="D395" s="1">
        <v>32</v>
      </c>
      <c r="AB395" s="907"/>
      <c r="AC395" s="907"/>
      <c r="AD395" s="907"/>
      <c r="AE395" s="907"/>
      <c r="AF395" s="907"/>
      <c r="AG395" s="907"/>
      <c r="AH395" s="907"/>
      <c r="AI395" s="907"/>
      <c r="AJ395" s="907"/>
      <c r="AK395" s="907"/>
      <c r="AL395" s="907"/>
      <c r="AM395" s="907"/>
      <c r="AN395" s="907"/>
      <c r="AO395" s="907"/>
      <c r="AP395" s="907"/>
      <c r="AQ395" s="907"/>
    </row>
    <row r="396" spans="4:43" ht="21" customHeight="1" outlineLevel="1">
      <c r="D396" s="1">
        <v>28</v>
      </c>
      <c r="AA396" s="781"/>
      <c r="AB396" s="898" t="s">
        <v>1479</v>
      </c>
      <c r="AC396" s="781"/>
      <c r="AD396" s="781"/>
      <c r="AE396" s="781"/>
      <c r="AF396" s="781"/>
      <c r="AG396" s="781"/>
      <c r="AH396" s="781"/>
      <c r="AI396" s="781"/>
      <c r="AJ396" s="781"/>
      <c r="AK396" s="781"/>
      <c r="AL396" s="781"/>
      <c r="AM396" s="781"/>
      <c r="AN396" s="781"/>
      <c r="AO396" s="781"/>
      <c r="AP396" s="781"/>
      <c r="AQ396" s="781"/>
    </row>
    <row r="397" spans="4:43" ht="33.75" customHeight="1" outlineLevel="1">
      <c r="D397" s="1">
        <v>45</v>
      </c>
      <c r="AA397" s="781"/>
      <c r="AB397" s="896" t="s">
        <v>1470</v>
      </c>
      <c r="AC397" s="896"/>
      <c r="AD397" s="896"/>
      <c r="AE397" s="896"/>
      <c r="AF397" s="896"/>
      <c r="AG397" s="896"/>
      <c r="AH397" s="896"/>
      <c r="AI397" s="896"/>
      <c r="AJ397" s="896"/>
      <c r="AK397" s="896"/>
      <c r="AL397" s="896"/>
      <c r="AM397" s="896"/>
      <c r="AN397" s="896"/>
      <c r="AO397" s="896"/>
      <c r="AP397" s="896"/>
      <c r="AQ397" s="896"/>
    </row>
    <row r="398" spans="4:43" ht="79.5" customHeight="1" outlineLevel="1">
      <c r="D398" s="1">
        <v>106</v>
      </c>
      <c r="AB398" s="896" t="s">
        <v>1471</v>
      </c>
      <c r="AC398" s="896"/>
      <c r="AD398" s="896"/>
      <c r="AE398" s="896"/>
      <c r="AF398" s="896"/>
      <c r="AG398" s="896"/>
      <c r="AH398" s="896"/>
      <c r="AI398" s="896"/>
      <c r="AJ398" s="896"/>
      <c r="AK398" s="896"/>
      <c r="AL398" s="896"/>
      <c r="AM398" s="896"/>
      <c r="AN398" s="896"/>
      <c r="AO398" s="896"/>
      <c r="AP398" s="896"/>
      <c r="AQ398" s="896"/>
    </row>
    <row r="399" spans="4:43" ht="33.75" customHeight="1" outlineLevel="1">
      <c r="D399" s="1">
        <v>45</v>
      </c>
      <c r="AB399" s="896" t="s">
        <v>1472</v>
      </c>
      <c r="AC399" s="896"/>
      <c r="AD399" s="896"/>
      <c r="AE399" s="896"/>
      <c r="AF399" s="896"/>
      <c r="AG399" s="896"/>
      <c r="AH399" s="896"/>
      <c r="AI399" s="896"/>
      <c r="AJ399" s="896"/>
      <c r="AK399" s="896"/>
      <c r="AL399" s="896"/>
      <c r="AM399" s="896"/>
      <c r="AN399" s="896"/>
      <c r="AO399" s="896"/>
      <c r="AP399" s="896"/>
      <c r="AQ399" s="896"/>
    </row>
    <row r="400" spans="4:43" ht="36" customHeight="1" outlineLevel="1">
      <c r="D400" s="1">
        <v>48</v>
      </c>
      <c r="AB400" s="896"/>
      <c r="AC400" s="896"/>
      <c r="AD400" s="896"/>
      <c r="AE400" s="896"/>
      <c r="AF400" s="896"/>
      <c r="AG400" s="896"/>
      <c r="AH400" s="896"/>
      <c r="AI400" s="896"/>
      <c r="AJ400" s="896"/>
      <c r="AK400" s="896"/>
      <c r="AL400" s="896"/>
      <c r="AM400" s="896"/>
      <c r="AN400" s="896"/>
      <c r="AO400" s="896"/>
      <c r="AP400" s="896"/>
      <c r="AQ400" s="896"/>
    </row>
    <row r="401" spans="4:43" ht="36" customHeight="1" outlineLevel="1">
      <c r="D401" s="1">
        <v>48</v>
      </c>
      <c r="AB401" s="896" t="s">
        <v>1473</v>
      </c>
      <c r="AC401" s="896"/>
      <c r="AD401" s="896"/>
      <c r="AE401" s="896"/>
      <c r="AF401" s="896"/>
      <c r="AG401" s="896"/>
      <c r="AH401" s="896"/>
      <c r="AI401" s="896"/>
      <c r="AJ401" s="896"/>
      <c r="AK401" s="896"/>
      <c r="AL401" s="896"/>
      <c r="AM401" s="896"/>
      <c r="AN401" s="896"/>
      <c r="AO401" s="896"/>
      <c r="AP401" s="896"/>
      <c r="AQ401" s="896"/>
    </row>
    <row r="402" spans="4:43" ht="36" customHeight="1" outlineLevel="1">
      <c r="D402" s="1">
        <v>48</v>
      </c>
      <c r="AB402" s="896" t="e">
        <f>$AG$27&amp;" планирует по статье «Расходы на повышение квалификации,  подготовку кадров» на "&amp;PRD&amp;" год "&amp;ROUND(#REF!,2)&amp;" тыс.руб. Экономически обоснованные фактические расходы за "&amp;PRD-2&amp;" год составили."&amp;ROUND(#REF!,2)&amp;" тыс.руб."</f>
        <v>#REF!</v>
      </c>
      <c r="AC402" s="896"/>
      <c r="AD402" s="896"/>
      <c r="AE402" s="896"/>
      <c r="AF402" s="896"/>
      <c r="AG402" s="896"/>
      <c r="AH402" s="896"/>
      <c r="AI402" s="896"/>
      <c r="AJ402" s="896"/>
      <c r="AK402" s="896"/>
      <c r="AL402" s="896"/>
      <c r="AM402" s="896"/>
      <c r="AN402" s="896"/>
      <c r="AO402" s="896"/>
      <c r="AP402" s="896"/>
      <c r="AQ402" s="896"/>
    </row>
    <row r="403" spans="4:43" ht="36" customHeight="1" outlineLevel="1">
      <c r="D403" s="1">
        <v>48</v>
      </c>
      <c r="AB403" s="896" t="s">
        <v>1477</v>
      </c>
      <c r="AC403" s="896"/>
      <c r="AD403" s="896"/>
      <c r="AE403" s="896"/>
      <c r="AF403" s="896"/>
      <c r="AG403" s="896"/>
      <c r="AH403" s="896"/>
      <c r="AI403" s="896"/>
      <c r="AJ403" s="896"/>
      <c r="AK403" s="896"/>
      <c r="AL403" s="896"/>
      <c r="AM403" s="896"/>
      <c r="AN403" s="896"/>
      <c r="AO403" s="896"/>
      <c r="AP403" s="896"/>
      <c r="AQ403" s="896"/>
    </row>
    <row r="404" spans="4:43" ht="36" customHeight="1" outlineLevel="1">
      <c r="D404" s="1">
        <v>48</v>
      </c>
      <c r="AB404" s="896" t="e">
        <f>"Расходы по статье Расходы на повышение квалификации,  подготовку кадров принимаются экспертами в размере "&amp;ROUND(#REF!,2)&amp;" тыс.руб."</f>
        <v>#REF!</v>
      </c>
      <c r="AC404" s="896"/>
      <c r="AD404" s="896"/>
      <c r="AE404" s="896"/>
      <c r="AF404" s="896"/>
      <c r="AG404" s="896"/>
      <c r="AH404" s="896"/>
      <c r="AI404" s="896"/>
      <c r="AJ404" s="896"/>
      <c r="AK404" s="896"/>
      <c r="AL404" s="896"/>
      <c r="AM404" s="896"/>
      <c r="AN404" s="896"/>
      <c r="AO404" s="896"/>
      <c r="AP404" s="896"/>
      <c r="AQ404" s="896"/>
    </row>
    <row r="405" spans="4:43" ht="24" customHeight="1">
      <c r="D405" s="1">
        <v>32</v>
      </c>
      <c r="AB405" s="907"/>
      <c r="AC405" s="907"/>
      <c r="AD405" s="907"/>
      <c r="AE405" s="907"/>
      <c r="AF405" s="907"/>
      <c r="AG405" s="907"/>
      <c r="AH405" s="907"/>
      <c r="AI405" s="907"/>
      <c r="AJ405" s="907"/>
      <c r="AK405" s="907"/>
      <c r="AL405" s="907"/>
      <c r="AM405" s="907"/>
      <c r="AN405" s="907"/>
      <c r="AO405" s="907"/>
      <c r="AP405" s="907"/>
      <c r="AQ405" s="907"/>
    </row>
    <row r="406" spans="4:43" ht="21" customHeight="1" outlineLevel="1">
      <c r="D406" s="1">
        <v>28</v>
      </c>
      <c r="AA406" s="781"/>
      <c r="AB406" s="898" t="s">
        <v>1480</v>
      </c>
      <c r="AC406" s="781"/>
      <c r="AD406" s="781"/>
      <c r="AE406" s="781"/>
      <c r="AF406" s="781"/>
      <c r="AG406" s="781"/>
      <c r="AH406" s="781"/>
      <c r="AI406" s="781"/>
      <c r="AJ406" s="781"/>
      <c r="AK406" s="781"/>
      <c r="AL406" s="781"/>
      <c r="AM406" s="781"/>
      <c r="AN406" s="781"/>
      <c r="AO406" s="781"/>
      <c r="AP406" s="781"/>
      <c r="AQ406" s="781"/>
    </row>
    <row r="407" spans="4:43" ht="33.75" customHeight="1" outlineLevel="1">
      <c r="D407" s="1">
        <v>45</v>
      </c>
      <c r="AA407" s="781"/>
      <c r="AB407" s="896" t="s">
        <v>1470</v>
      </c>
      <c r="AC407" s="896"/>
      <c r="AD407" s="896"/>
      <c r="AE407" s="896"/>
      <c r="AF407" s="896"/>
      <c r="AG407" s="896"/>
      <c r="AH407" s="896"/>
      <c r="AI407" s="896"/>
      <c r="AJ407" s="896"/>
      <c r="AK407" s="896"/>
      <c r="AL407" s="896"/>
      <c r="AM407" s="896"/>
      <c r="AN407" s="896"/>
      <c r="AO407" s="896"/>
      <c r="AP407" s="896"/>
      <c r="AQ407" s="896"/>
    </row>
    <row r="408" spans="4:43" ht="79.5" customHeight="1" outlineLevel="1">
      <c r="D408" s="1">
        <v>106</v>
      </c>
      <c r="AB408" s="896" t="s">
        <v>1471</v>
      </c>
      <c r="AC408" s="896"/>
      <c r="AD408" s="896"/>
      <c r="AE408" s="896"/>
      <c r="AF408" s="896"/>
      <c r="AG408" s="896"/>
      <c r="AH408" s="896"/>
      <c r="AI408" s="896"/>
      <c r="AJ408" s="896"/>
      <c r="AK408" s="896"/>
      <c r="AL408" s="896"/>
      <c r="AM408" s="896"/>
      <c r="AN408" s="896"/>
      <c r="AO408" s="896"/>
      <c r="AP408" s="896"/>
      <c r="AQ408" s="896"/>
    </row>
    <row r="409" spans="4:43" ht="33.75" customHeight="1" outlineLevel="1">
      <c r="D409" s="1">
        <v>45</v>
      </c>
      <c r="AB409" s="896" t="s">
        <v>1472</v>
      </c>
      <c r="AC409" s="896"/>
      <c r="AD409" s="896"/>
      <c r="AE409" s="896"/>
      <c r="AF409" s="896"/>
      <c r="AG409" s="896"/>
      <c r="AH409" s="896"/>
      <c r="AI409" s="896"/>
      <c r="AJ409" s="896"/>
      <c r="AK409" s="896"/>
      <c r="AL409" s="896"/>
      <c r="AM409" s="896"/>
      <c r="AN409" s="896"/>
      <c r="AO409" s="896"/>
      <c r="AP409" s="896"/>
      <c r="AQ409" s="896"/>
    </row>
    <row r="410" spans="4:43" ht="36" customHeight="1" outlineLevel="1">
      <c r="D410" s="1">
        <v>48</v>
      </c>
      <c r="AB410" s="896"/>
      <c r="AC410" s="896"/>
      <c r="AD410" s="896"/>
      <c r="AE410" s="896"/>
      <c r="AF410" s="896"/>
      <c r="AG410" s="896"/>
      <c r="AH410" s="896"/>
      <c r="AI410" s="896"/>
      <c r="AJ410" s="896"/>
      <c r="AK410" s="896"/>
      <c r="AL410" s="896"/>
      <c r="AM410" s="896"/>
      <c r="AN410" s="896"/>
      <c r="AO410" s="896"/>
      <c r="AP410" s="896"/>
      <c r="AQ410" s="896"/>
    </row>
    <row r="411" spans="4:43" ht="36" customHeight="1" outlineLevel="1">
      <c r="D411" s="1">
        <v>48</v>
      </c>
      <c r="AB411" s="896" t="s">
        <v>1481</v>
      </c>
      <c r="AC411" s="896"/>
      <c r="AD411" s="896"/>
      <c r="AE411" s="896"/>
      <c r="AF411" s="896"/>
      <c r="AG411" s="896"/>
      <c r="AH411" s="896"/>
      <c r="AI411" s="896"/>
      <c r="AJ411" s="896"/>
      <c r="AK411" s="896"/>
      <c r="AL411" s="896"/>
      <c r="AM411" s="896"/>
      <c r="AN411" s="896"/>
      <c r="AO411" s="896"/>
      <c r="AP411" s="896"/>
      <c r="AQ411" s="896"/>
    </row>
    <row r="412" spans="4:43" ht="36" customHeight="1" outlineLevel="1">
      <c r="D412" s="1">
        <v>48</v>
      </c>
      <c r="AB412" s="896" t="e">
        <f>$AG$27&amp;" планирует по статье «Расходы на обеспечение нормальных условий труда и мер по технике безопасности» на "&amp;PRD&amp;" год "&amp;ROUND(#REF!,2)&amp;" тыс.руб. Экономически обоснованные фактические расходы за "&amp;PRD-2&amp;" год составили."&amp;ROUND(#REF!,2)&amp;" тыс.руб."</f>
        <v>#REF!</v>
      </c>
      <c r="AC412" s="896"/>
      <c r="AD412" s="896"/>
      <c r="AE412" s="896"/>
      <c r="AF412" s="896"/>
      <c r="AG412" s="896"/>
      <c r="AH412" s="896"/>
      <c r="AI412" s="896"/>
      <c r="AJ412" s="896"/>
      <c r="AK412" s="896"/>
      <c r="AL412" s="896"/>
      <c r="AM412" s="896"/>
      <c r="AN412" s="896"/>
      <c r="AO412" s="896"/>
      <c r="AP412" s="896"/>
      <c r="AQ412" s="896"/>
    </row>
    <row r="413" spans="4:43" ht="36" customHeight="1" outlineLevel="1">
      <c r="D413" s="1">
        <v>48</v>
      </c>
      <c r="AB413" s="896" t="s">
        <v>1477</v>
      </c>
      <c r="AC413" s="896"/>
      <c r="AD413" s="896"/>
      <c r="AE413" s="896"/>
      <c r="AF413" s="896"/>
      <c r="AG413" s="896"/>
      <c r="AH413" s="896"/>
      <c r="AI413" s="896"/>
      <c r="AJ413" s="896"/>
      <c r="AK413" s="896"/>
      <c r="AL413" s="896"/>
      <c r="AM413" s="896"/>
      <c r="AN413" s="896"/>
      <c r="AO413" s="896"/>
      <c r="AP413" s="896"/>
      <c r="AQ413" s="896"/>
    </row>
    <row r="414" spans="4:43" ht="36" customHeight="1" outlineLevel="1">
      <c r="D414" s="1">
        <v>48</v>
      </c>
      <c r="AB414" s="896" t="e">
        <f>"Расходы по статье Расходы на обеспечение нормальных условий труда и мер по технике безопасности,  подготовку кадров принимаются экспертами в размере "&amp;ROUND(#REF!,2)&amp;" тыс.руб."</f>
        <v>#REF!</v>
      </c>
      <c r="AC414" s="896"/>
      <c r="AD414" s="896"/>
      <c r="AE414" s="896"/>
      <c r="AF414" s="896"/>
      <c r="AG414" s="896"/>
      <c r="AH414" s="896"/>
      <c r="AI414" s="896"/>
      <c r="AJ414" s="896"/>
      <c r="AK414" s="896"/>
      <c r="AL414" s="896"/>
      <c r="AM414" s="896"/>
      <c r="AN414" s="896"/>
      <c r="AO414" s="896"/>
      <c r="AP414" s="896"/>
      <c r="AQ414" s="896"/>
    </row>
    <row r="415" spans="4:43" ht="24" customHeight="1">
      <c r="D415" s="1">
        <v>32</v>
      </c>
      <c r="AB415" s="907"/>
      <c r="AC415" s="907"/>
      <c r="AD415" s="907"/>
      <c r="AE415" s="907"/>
      <c r="AF415" s="907"/>
      <c r="AG415" s="907"/>
      <c r="AH415" s="907"/>
      <c r="AI415" s="907"/>
      <c r="AJ415" s="907"/>
      <c r="AK415" s="907"/>
      <c r="AL415" s="907"/>
      <c r="AM415" s="907"/>
      <c r="AN415" s="907"/>
      <c r="AO415" s="907"/>
      <c r="AP415" s="907"/>
      <c r="AQ415" s="907"/>
    </row>
    <row r="416" spans="4:43" ht="21" customHeight="1" outlineLevel="1">
      <c r="D416" s="1">
        <v>28</v>
      </c>
      <c r="AA416" s="781"/>
      <c r="AB416" s="898" t="s">
        <v>1482</v>
      </c>
      <c r="AC416" s="781"/>
      <c r="AD416" s="781"/>
      <c r="AE416" s="781"/>
      <c r="AF416" s="781"/>
      <c r="AG416" s="781"/>
      <c r="AH416" s="781"/>
      <c r="AI416" s="781"/>
      <c r="AJ416" s="781"/>
      <c r="AK416" s="781"/>
      <c r="AL416" s="781"/>
      <c r="AM416" s="781"/>
      <c r="AN416" s="781"/>
      <c r="AO416" s="781"/>
      <c r="AP416" s="781"/>
      <c r="AQ416" s="781"/>
    </row>
    <row r="417" spans="4:43" ht="33.75" customHeight="1" outlineLevel="1">
      <c r="D417" s="1">
        <v>45</v>
      </c>
      <c r="AA417" s="781"/>
      <c r="AB417" s="896" t="s">
        <v>1470</v>
      </c>
      <c r="AC417" s="896"/>
      <c r="AD417" s="896"/>
      <c r="AE417" s="896"/>
      <c r="AF417" s="896"/>
      <c r="AG417" s="896"/>
      <c r="AH417" s="896"/>
      <c r="AI417" s="896"/>
      <c r="AJ417" s="896"/>
      <c r="AK417" s="896"/>
      <c r="AL417" s="896"/>
      <c r="AM417" s="896"/>
      <c r="AN417" s="896"/>
      <c r="AO417" s="896"/>
      <c r="AP417" s="896"/>
      <c r="AQ417" s="896"/>
    </row>
    <row r="418" spans="4:43" ht="79.5" customHeight="1" outlineLevel="1">
      <c r="D418" s="1">
        <v>106</v>
      </c>
      <c r="AB418" s="896" t="s">
        <v>1471</v>
      </c>
      <c r="AC418" s="896"/>
      <c r="AD418" s="896"/>
      <c r="AE418" s="896"/>
      <c r="AF418" s="896"/>
      <c r="AG418" s="896"/>
      <c r="AH418" s="896"/>
      <c r="AI418" s="896"/>
      <c r="AJ418" s="896"/>
      <c r="AK418" s="896"/>
      <c r="AL418" s="896"/>
      <c r="AM418" s="896"/>
      <c r="AN418" s="896"/>
      <c r="AO418" s="896"/>
      <c r="AP418" s="896"/>
      <c r="AQ418" s="896"/>
    </row>
    <row r="419" spans="4:43" ht="33.75" customHeight="1" outlineLevel="1">
      <c r="D419" s="1">
        <v>45</v>
      </c>
      <c r="AB419" s="896" t="s">
        <v>1472</v>
      </c>
      <c r="AC419" s="896"/>
      <c r="AD419" s="896"/>
      <c r="AE419" s="896"/>
      <c r="AF419" s="896"/>
      <c r="AG419" s="896"/>
      <c r="AH419" s="896"/>
      <c r="AI419" s="896"/>
      <c r="AJ419" s="896"/>
      <c r="AK419" s="896"/>
      <c r="AL419" s="896"/>
      <c r="AM419" s="896"/>
      <c r="AN419" s="896"/>
      <c r="AO419" s="896"/>
      <c r="AP419" s="896"/>
      <c r="AQ419" s="896"/>
    </row>
    <row r="420" spans="4:43" ht="36" customHeight="1" outlineLevel="1">
      <c r="D420" s="1">
        <v>48</v>
      </c>
      <c r="AB420" s="896"/>
      <c r="AC420" s="896"/>
      <c r="AD420" s="896"/>
      <c r="AE420" s="896"/>
      <c r="AF420" s="896"/>
      <c r="AG420" s="896"/>
      <c r="AH420" s="896"/>
      <c r="AI420" s="896"/>
      <c r="AJ420" s="896"/>
      <c r="AK420" s="896"/>
      <c r="AL420" s="896"/>
      <c r="AM420" s="896"/>
      <c r="AN420" s="896"/>
      <c r="AO420" s="896"/>
      <c r="AP420" s="896"/>
      <c r="AQ420" s="896"/>
    </row>
    <row r="421" spans="4:43" ht="36" customHeight="1" outlineLevel="1">
      <c r="D421" s="1">
        <v>48</v>
      </c>
      <c r="AB421" s="896" t="s">
        <v>1481</v>
      </c>
      <c r="AC421" s="896"/>
      <c r="AD421" s="896"/>
      <c r="AE421" s="896"/>
      <c r="AF421" s="896"/>
      <c r="AG421" s="896"/>
      <c r="AH421" s="896"/>
      <c r="AI421" s="896"/>
      <c r="AJ421" s="896"/>
      <c r="AK421" s="896"/>
      <c r="AL421" s="896"/>
      <c r="AM421" s="896"/>
      <c r="AN421" s="896"/>
      <c r="AO421" s="896"/>
      <c r="AP421" s="896"/>
      <c r="AQ421" s="896"/>
    </row>
    <row r="422" spans="4:43" ht="36" customHeight="1" outlineLevel="1">
      <c r="D422" s="1">
        <v>48</v>
      </c>
      <c r="AB422" s="896" t="e">
        <f>$AG$27&amp;" планирует по статье «Расходы на страхование» на "&amp;PRD&amp;" год "&amp;ROUND(#REF!,2)&amp;" тыс.руб. Экономически обоснованные фактические расходы за "&amp;PRD-2&amp;" год составили."&amp;ROUND(#REF!,2)&amp;" тыс.руб."</f>
        <v>#REF!</v>
      </c>
      <c r="AC422" s="896"/>
      <c r="AD422" s="896"/>
      <c r="AE422" s="896"/>
      <c r="AF422" s="896"/>
      <c r="AG422" s="896"/>
      <c r="AH422" s="896"/>
      <c r="AI422" s="896"/>
      <c r="AJ422" s="896"/>
      <c r="AK422" s="896"/>
      <c r="AL422" s="896"/>
      <c r="AM422" s="896"/>
      <c r="AN422" s="896"/>
      <c r="AO422" s="896"/>
      <c r="AP422" s="896"/>
      <c r="AQ422" s="896"/>
    </row>
    <row r="423" spans="4:43" ht="36" customHeight="1" outlineLevel="1">
      <c r="D423" s="1">
        <v>48</v>
      </c>
      <c r="AB423" s="896" t="s">
        <v>1477</v>
      </c>
      <c r="AC423" s="896"/>
      <c r="AD423" s="896"/>
      <c r="AE423" s="896"/>
      <c r="AF423" s="896"/>
      <c r="AG423" s="896"/>
      <c r="AH423" s="896"/>
      <c r="AI423" s="896"/>
      <c r="AJ423" s="896"/>
      <c r="AK423" s="896"/>
      <c r="AL423" s="896"/>
      <c r="AM423" s="896"/>
      <c r="AN423" s="896"/>
      <c r="AO423" s="896"/>
      <c r="AP423" s="896"/>
      <c r="AQ423" s="896"/>
    </row>
    <row r="424" spans="4:43" ht="36" customHeight="1" outlineLevel="1">
      <c r="D424" s="1">
        <v>48</v>
      </c>
      <c r="AB424" s="896" t="e">
        <f>"Расходы по статье Расходы на страхование принимаются экспертами в размере "&amp;ROUND(#REF!,2)&amp;" тыс.руб."</f>
        <v>#REF!</v>
      </c>
      <c r="AC424" s="896"/>
      <c r="AD424" s="896"/>
      <c r="AE424" s="896"/>
      <c r="AF424" s="896"/>
      <c r="AG424" s="896"/>
      <c r="AH424" s="896"/>
      <c r="AI424" s="896"/>
      <c r="AJ424" s="896"/>
      <c r="AK424" s="896"/>
      <c r="AL424" s="896"/>
      <c r="AM424" s="896"/>
      <c r="AN424" s="896"/>
      <c r="AO424" s="896"/>
      <c r="AP424" s="896"/>
      <c r="AQ424" s="896"/>
    </row>
    <row r="425" spans="4:43" ht="24" customHeight="1">
      <c r="D425" s="1">
        <v>32</v>
      </c>
      <c r="AB425" s="907"/>
      <c r="AC425" s="907"/>
      <c r="AD425" s="907"/>
      <c r="AE425" s="907"/>
      <c r="AF425" s="907"/>
      <c r="AG425" s="907"/>
      <c r="AH425" s="907"/>
      <c r="AI425" s="907"/>
      <c r="AJ425" s="907"/>
      <c r="AK425" s="907"/>
      <c r="AL425" s="907"/>
      <c r="AM425" s="907"/>
      <c r="AN425" s="907"/>
      <c r="AO425" s="907"/>
      <c r="AP425" s="907"/>
      <c r="AQ425" s="907"/>
    </row>
    <row r="426" spans="4:43" ht="21" customHeight="1" outlineLevel="1">
      <c r="D426" s="1">
        <v>28</v>
      </c>
      <c r="AA426" s="781"/>
      <c r="AB426" s="898" t="s">
        <v>1483</v>
      </c>
      <c r="AC426" s="781"/>
      <c r="AD426" s="781"/>
      <c r="AE426" s="781"/>
      <c r="AF426" s="781"/>
      <c r="AG426" s="781"/>
      <c r="AH426" s="781"/>
      <c r="AI426" s="781"/>
      <c r="AJ426" s="781"/>
      <c r="AK426" s="781"/>
      <c r="AL426" s="781"/>
      <c r="AM426" s="781"/>
      <c r="AN426" s="781"/>
      <c r="AO426" s="781"/>
      <c r="AP426" s="781"/>
      <c r="AQ426" s="781"/>
    </row>
    <row r="427" spans="4:43" ht="33.75" customHeight="1" outlineLevel="1">
      <c r="D427" s="1">
        <v>45</v>
      </c>
      <c r="AA427" s="781"/>
      <c r="AB427" s="896" t="s">
        <v>1470</v>
      </c>
      <c r="AC427" s="896"/>
      <c r="AD427" s="896"/>
      <c r="AE427" s="896"/>
      <c r="AF427" s="896"/>
      <c r="AG427" s="896"/>
      <c r="AH427" s="896"/>
      <c r="AI427" s="896"/>
      <c r="AJ427" s="896"/>
      <c r="AK427" s="896"/>
      <c r="AL427" s="896"/>
      <c r="AM427" s="896"/>
      <c r="AN427" s="896"/>
      <c r="AO427" s="896"/>
      <c r="AP427" s="896"/>
      <c r="AQ427" s="896"/>
    </row>
    <row r="428" spans="4:43" ht="79.5" customHeight="1" outlineLevel="1">
      <c r="D428" s="1">
        <v>106</v>
      </c>
      <c r="AB428" s="896" t="s">
        <v>1471</v>
      </c>
      <c r="AC428" s="896"/>
      <c r="AD428" s="896"/>
      <c r="AE428" s="896"/>
      <c r="AF428" s="896"/>
      <c r="AG428" s="896"/>
      <c r="AH428" s="896"/>
      <c r="AI428" s="896"/>
      <c r="AJ428" s="896"/>
      <c r="AK428" s="896"/>
      <c r="AL428" s="896"/>
      <c r="AM428" s="896"/>
      <c r="AN428" s="896"/>
      <c r="AO428" s="896"/>
      <c r="AP428" s="896"/>
      <c r="AQ428" s="896"/>
    </row>
    <row r="429" spans="4:43" ht="33.75" customHeight="1" outlineLevel="1">
      <c r="D429" s="1">
        <v>45</v>
      </c>
      <c r="AB429" s="896" t="s">
        <v>1472</v>
      </c>
      <c r="AC429" s="896"/>
      <c r="AD429" s="896"/>
      <c r="AE429" s="896"/>
      <c r="AF429" s="896"/>
      <c r="AG429" s="896"/>
      <c r="AH429" s="896"/>
      <c r="AI429" s="896"/>
      <c r="AJ429" s="896"/>
      <c r="AK429" s="896"/>
      <c r="AL429" s="896"/>
      <c r="AM429" s="896"/>
      <c r="AN429" s="896"/>
      <c r="AO429" s="896"/>
      <c r="AP429" s="896"/>
      <c r="AQ429" s="896"/>
    </row>
    <row r="430" spans="4:43" ht="36" customHeight="1" outlineLevel="1">
      <c r="D430" s="1">
        <v>48</v>
      </c>
      <c r="AB430" s="896"/>
      <c r="AC430" s="896"/>
      <c r="AD430" s="896"/>
      <c r="AE430" s="896"/>
      <c r="AF430" s="896"/>
      <c r="AG430" s="896"/>
      <c r="AH430" s="896"/>
      <c r="AI430" s="896"/>
      <c r="AJ430" s="896"/>
      <c r="AK430" s="896"/>
      <c r="AL430" s="896"/>
      <c r="AM430" s="896"/>
      <c r="AN430" s="896"/>
      <c r="AO430" s="896"/>
      <c r="AP430" s="896"/>
      <c r="AQ430" s="896"/>
    </row>
    <row r="431" spans="4:43" ht="36" customHeight="1" outlineLevel="1">
      <c r="D431" s="1">
        <v>48</v>
      </c>
      <c r="AB431" s="896" t="s">
        <v>1484</v>
      </c>
      <c r="AC431" s="896"/>
      <c r="AD431" s="896"/>
      <c r="AE431" s="896"/>
      <c r="AF431" s="896"/>
      <c r="AG431" s="896"/>
      <c r="AH431" s="896"/>
      <c r="AI431" s="896"/>
      <c r="AJ431" s="896"/>
      <c r="AK431" s="896"/>
      <c r="AL431" s="896"/>
      <c r="AM431" s="896"/>
      <c r="AN431" s="896"/>
      <c r="AO431" s="896"/>
      <c r="AP431" s="896"/>
      <c r="AQ431" s="896"/>
    </row>
    <row r="432" spans="4:43" ht="36" customHeight="1" outlineLevel="1">
      <c r="D432" s="1">
        <v>48</v>
      </c>
      <c r="AB432" s="896" t="e">
        <f>$AG$27&amp;" планирует по статье «Теплоэнергия» на "&amp;PRD&amp;" год "&amp;ROUND(#REF!,2)&amp;" тыс.руб. Экономически обоснованные фактические расходы за "&amp;PRD-2&amp;" год составили."&amp;ROUND(#REF!,2)&amp;" тыс.руб."</f>
        <v>#REF!</v>
      </c>
      <c r="AC432" s="896"/>
      <c r="AD432" s="896"/>
      <c r="AE432" s="896"/>
      <c r="AF432" s="896"/>
      <c r="AG432" s="896"/>
      <c r="AH432" s="896"/>
      <c r="AI432" s="896"/>
      <c r="AJ432" s="896"/>
      <c r="AK432" s="896"/>
      <c r="AL432" s="896"/>
      <c r="AM432" s="896"/>
      <c r="AN432" s="896"/>
      <c r="AO432" s="896"/>
      <c r="AP432" s="896"/>
      <c r="AQ432" s="896"/>
    </row>
    <row r="433" spans="4:43" ht="36" customHeight="1" outlineLevel="1">
      <c r="D433" s="1">
        <v>48</v>
      </c>
      <c r="AB433" s="896" t="s">
        <v>1477</v>
      </c>
      <c r="AC433" s="896"/>
      <c r="AD433" s="896"/>
      <c r="AE433" s="896"/>
      <c r="AF433" s="896"/>
      <c r="AG433" s="896"/>
      <c r="AH433" s="896"/>
      <c r="AI433" s="896"/>
      <c r="AJ433" s="896"/>
      <c r="AK433" s="896"/>
      <c r="AL433" s="896"/>
      <c r="AM433" s="896"/>
      <c r="AN433" s="896"/>
      <c r="AO433" s="896"/>
      <c r="AP433" s="896"/>
      <c r="AQ433" s="896"/>
    </row>
    <row r="434" spans="4:43" ht="36" customHeight="1" outlineLevel="1">
      <c r="D434" s="1">
        <v>48</v>
      </c>
      <c r="AB434" s="896" t="e">
        <f>"Расходы по статье Теплоэнергия принимаются экспертами в размере "&amp;ROUND(#REF!,2)&amp;" тыс.руб."</f>
        <v>#REF!</v>
      </c>
      <c r="AC434" s="896"/>
      <c r="AD434" s="896"/>
      <c r="AE434" s="896"/>
      <c r="AF434" s="896"/>
      <c r="AG434" s="896"/>
      <c r="AH434" s="896"/>
      <c r="AI434" s="896"/>
      <c r="AJ434" s="896"/>
      <c r="AK434" s="896"/>
      <c r="AL434" s="896"/>
      <c r="AM434" s="896"/>
      <c r="AN434" s="896"/>
      <c r="AO434" s="896"/>
      <c r="AP434" s="896"/>
      <c r="AQ434" s="896"/>
    </row>
    <row r="435" spans="4:43" ht="24" customHeight="1">
      <c r="D435" s="1">
        <v>32</v>
      </c>
      <c r="AB435" s="907"/>
      <c r="AC435" s="907"/>
      <c r="AD435" s="907"/>
      <c r="AE435" s="907"/>
      <c r="AF435" s="907"/>
      <c r="AG435" s="907"/>
      <c r="AH435" s="907"/>
      <c r="AI435" s="907"/>
      <c r="AJ435" s="907"/>
      <c r="AK435" s="907"/>
      <c r="AL435" s="907"/>
      <c r="AM435" s="907"/>
      <c r="AN435" s="907"/>
      <c r="AO435" s="907"/>
      <c r="AP435" s="907"/>
      <c r="AQ435" s="907"/>
    </row>
    <row r="436" spans="4:43" ht="21" customHeight="1" outlineLevel="1">
      <c r="D436" s="1">
        <v>28</v>
      </c>
      <c r="AA436" s="781"/>
      <c r="AB436" s="898" t="s">
        <v>1485</v>
      </c>
      <c r="AC436" s="781"/>
      <c r="AD436" s="781"/>
      <c r="AE436" s="781"/>
      <c r="AF436" s="781"/>
      <c r="AG436" s="781"/>
      <c r="AH436" s="781"/>
      <c r="AI436" s="781"/>
      <c r="AJ436" s="781"/>
      <c r="AK436" s="781"/>
      <c r="AL436" s="781"/>
      <c r="AM436" s="781"/>
      <c r="AN436" s="781"/>
      <c r="AO436" s="781"/>
      <c r="AP436" s="781"/>
      <c r="AQ436" s="781"/>
    </row>
    <row r="437" spans="4:43" ht="33.75" customHeight="1" outlineLevel="1">
      <c r="D437" s="1">
        <v>45</v>
      </c>
      <c r="AA437" s="781"/>
      <c r="AB437" s="896" t="s">
        <v>1470</v>
      </c>
      <c r="AC437" s="896"/>
      <c r="AD437" s="896"/>
      <c r="AE437" s="896"/>
      <c r="AF437" s="896"/>
      <c r="AG437" s="896"/>
      <c r="AH437" s="896"/>
      <c r="AI437" s="896"/>
      <c r="AJ437" s="896"/>
      <c r="AK437" s="896"/>
      <c r="AL437" s="896"/>
      <c r="AM437" s="896"/>
      <c r="AN437" s="896"/>
      <c r="AO437" s="896"/>
      <c r="AP437" s="896"/>
      <c r="AQ437" s="896"/>
    </row>
    <row r="438" spans="4:43" ht="79.5" customHeight="1" outlineLevel="1">
      <c r="D438" s="1">
        <v>106</v>
      </c>
      <c r="AB438" s="896" t="s">
        <v>1471</v>
      </c>
      <c r="AC438" s="896"/>
      <c r="AD438" s="896"/>
      <c r="AE438" s="896"/>
      <c r="AF438" s="896"/>
      <c r="AG438" s="896"/>
      <c r="AH438" s="896"/>
      <c r="AI438" s="896"/>
      <c r="AJ438" s="896"/>
      <c r="AK438" s="896"/>
      <c r="AL438" s="896"/>
      <c r="AM438" s="896"/>
      <c r="AN438" s="896"/>
      <c r="AO438" s="896"/>
      <c r="AP438" s="896"/>
      <c r="AQ438" s="896"/>
    </row>
    <row r="439" spans="4:43" ht="33.75" customHeight="1" outlineLevel="1">
      <c r="D439" s="1">
        <v>45</v>
      </c>
      <c r="AB439" s="896" t="s">
        <v>1472</v>
      </c>
      <c r="AC439" s="896"/>
      <c r="AD439" s="896"/>
      <c r="AE439" s="896"/>
      <c r="AF439" s="896"/>
      <c r="AG439" s="896"/>
      <c r="AH439" s="896"/>
      <c r="AI439" s="896"/>
      <c r="AJ439" s="896"/>
      <c r="AK439" s="896"/>
      <c r="AL439" s="896"/>
      <c r="AM439" s="896"/>
      <c r="AN439" s="896"/>
      <c r="AO439" s="896"/>
      <c r="AP439" s="896"/>
      <c r="AQ439" s="896"/>
    </row>
    <row r="440" spans="4:43" ht="36" customHeight="1" outlineLevel="1">
      <c r="D440" s="1">
        <v>48</v>
      </c>
      <c r="AB440" s="896"/>
      <c r="AC440" s="896"/>
      <c r="AD440" s="896"/>
      <c r="AE440" s="896"/>
      <c r="AF440" s="896"/>
      <c r="AG440" s="896"/>
      <c r="AH440" s="896"/>
      <c r="AI440" s="896"/>
      <c r="AJ440" s="896"/>
      <c r="AK440" s="896"/>
      <c r="AL440" s="896"/>
      <c r="AM440" s="896"/>
      <c r="AN440" s="896"/>
      <c r="AO440" s="896"/>
      <c r="AP440" s="896"/>
      <c r="AQ440" s="896"/>
    </row>
    <row r="441" spans="4:43" ht="36" customHeight="1" outlineLevel="1">
      <c r="D441" s="1">
        <v>48</v>
      </c>
      <c r="AB441" s="896" t="s">
        <v>1473</v>
      </c>
      <c r="AC441" s="896"/>
      <c r="AD441" s="896"/>
      <c r="AE441" s="896"/>
      <c r="AF441" s="896"/>
      <c r="AG441" s="896"/>
      <c r="AH441" s="896"/>
      <c r="AI441" s="896"/>
      <c r="AJ441" s="896"/>
      <c r="AK441" s="896"/>
      <c r="AL441" s="896"/>
      <c r="AM441" s="896"/>
      <c r="AN441" s="896"/>
      <c r="AO441" s="896"/>
      <c r="AP441" s="896"/>
      <c r="AQ441" s="896"/>
    </row>
    <row r="442" spans="4:43" ht="36" customHeight="1" outlineLevel="1">
      <c r="D442" s="1">
        <v>48</v>
      </c>
      <c r="AB442" s="896" t="e">
        <f>$AG$27&amp;" планирует по статье «Энергия на хоз. нужды» на "&amp;PRD&amp;" год "&amp;ROUND(#REF!,2)&amp;" тыс.руб. Экономически обоснованные фактические расходы за "&amp;PRD-2&amp;" год составили."&amp;ROUND(#REF!,2)&amp;" тыс.руб."</f>
        <v>#REF!</v>
      </c>
      <c r="AC442" s="896"/>
      <c r="AD442" s="896"/>
      <c r="AE442" s="896"/>
      <c r="AF442" s="896"/>
      <c r="AG442" s="896"/>
      <c r="AH442" s="896"/>
      <c r="AI442" s="896"/>
      <c r="AJ442" s="896"/>
      <c r="AK442" s="896"/>
      <c r="AL442" s="896"/>
      <c r="AM442" s="896"/>
      <c r="AN442" s="896"/>
      <c r="AO442" s="896"/>
      <c r="AP442" s="896"/>
      <c r="AQ442" s="896"/>
    </row>
    <row r="443" spans="4:43" ht="36" customHeight="1" outlineLevel="1">
      <c r="D443" s="1">
        <v>48</v>
      </c>
      <c r="AB443" s="896" t="s">
        <v>1477</v>
      </c>
      <c r="AC443" s="896"/>
      <c r="AD443" s="896"/>
      <c r="AE443" s="896"/>
      <c r="AF443" s="896"/>
      <c r="AG443" s="896"/>
      <c r="AH443" s="896"/>
      <c r="AI443" s="896"/>
      <c r="AJ443" s="896"/>
      <c r="AK443" s="896"/>
      <c r="AL443" s="896"/>
      <c r="AM443" s="896"/>
      <c r="AN443" s="896"/>
      <c r="AO443" s="896"/>
      <c r="AP443" s="896"/>
      <c r="AQ443" s="896"/>
    </row>
    <row r="444" spans="4:43" ht="36" customHeight="1" outlineLevel="1">
      <c r="D444" s="1">
        <v>48</v>
      </c>
      <c r="AB444" s="896" t="e">
        <f>"Расходы по статье Энергия на хоз. нужды принимаются экспертами в размере "&amp;ROUND(#REF!,2)&amp;" тыс.руб."</f>
        <v>#REF!</v>
      </c>
      <c r="AC444" s="896"/>
      <c r="AD444" s="896"/>
      <c r="AE444" s="896"/>
      <c r="AF444" s="896"/>
      <c r="AG444" s="896"/>
      <c r="AH444" s="896"/>
      <c r="AI444" s="896"/>
      <c r="AJ444" s="896"/>
      <c r="AK444" s="896"/>
      <c r="AL444" s="896"/>
      <c r="AM444" s="896"/>
      <c r="AN444" s="896"/>
      <c r="AO444" s="896"/>
      <c r="AP444" s="896"/>
      <c r="AQ444" s="896"/>
    </row>
    <row r="445" spans="4:43" ht="24" customHeight="1">
      <c r="D445" s="1">
        <v>32</v>
      </c>
      <c r="AB445" s="907"/>
      <c r="AC445" s="907"/>
      <c r="AD445" s="907"/>
      <c r="AE445" s="907"/>
      <c r="AF445" s="907"/>
      <c r="AG445" s="907"/>
      <c r="AH445" s="907"/>
      <c r="AI445" s="907"/>
      <c r="AJ445" s="907"/>
      <c r="AK445" s="907"/>
      <c r="AL445" s="907"/>
      <c r="AM445" s="907"/>
      <c r="AN445" s="907"/>
      <c r="AO445" s="907"/>
      <c r="AP445" s="907"/>
      <c r="AQ445" s="907"/>
    </row>
    <row r="446" spans="4:43" ht="21" customHeight="1" outlineLevel="1">
      <c r="D446" s="1">
        <v>28</v>
      </c>
      <c r="AA446" s="781"/>
      <c r="AB446" s="898" t="s">
        <v>1486</v>
      </c>
      <c r="AC446" s="781"/>
      <c r="AD446" s="781"/>
      <c r="AE446" s="781"/>
      <c r="AF446" s="781"/>
      <c r="AG446" s="781"/>
      <c r="AH446" s="781"/>
      <c r="AI446" s="781"/>
      <c r="AJ446" s="781"/>
      <c r="AK446" s="781"/>
      <c r="AL446" s="781"/>
      <c r="AM446" s="781"/>
      <c r="AN446" s="781"/>
      <c r="AO446" s="781"/>
      <c r="AP446" s="781"/>
      <c r="AQ446" s="781"/>
    </row>
    <row r="447" spans="4:43" ht="33.75" customHeight="1" outlineLevel="1">
      <c r="D447" s="1">
        <v>45</v>
      </c>
      <c r="AA447" s="781"/>
      <c r="AB447" s="896" t="s">
        <v>1470</v>
      </c>
      <c r="AC447" s="896"/>
      <c r="AD447" s="896"/>
      <c r="AE447" s="896"/>
      <c r="AF447" s="896"/>
      <c r="AG447" s="896"/>
      <c r="AH447" s="896"/>
      <c r="AI447" s="896"/>
      <c r="AJ447" s="896"/>
      <c r="AK447" s="896"/>
      <c r="AL447" s="896"/>
      <c r="AM447" s="896"/>
      <c r="AN447" s="896"/>
      <c r="AO447" s="896"/>
      <c r="AP447" s="896"/>
      <c r="AQ447" s="896"/>
    </row>
    <row r="448" spans="4:43" ht="79.5" customHeight="1" outlineLevel="1">
      <c r="D448" s="1">
        <v>106</v>
      </c>
      <c r="AB448" s="896" t="s">
        <v>1471</v>
      </c>
      <c r="AC448" s="896"/>
      <c r="AD448" s="896"/>
      <c r="AE448" s="896"/>
      <c r="AF448" s="896"/>
      <c r="AG448" s="896"/>
      <c r="AH448" s="896"/>
      <c r="AI448" s="896"/>
      <c r="AJ448" s="896"/>
      <c r="AK448" s="896"/>
      <c r="AL448" s="896"/>
      <c r="AM448" s="896"/>
      <c r="AN448" s="896"/>
      <c r="AO448" s="896"/>
      <c r="AP448" s="896"/>
      <c r="AQ448" s="896"/>
    </row>
    <row r="449" spans="4:43" ht="33.75" customHeight="1" outlineLevel="1">
      <c r="D449" s="1">
        <v>45</v>
      </c>
      <c r="AB449" s="896" t="s">
        <v>1472</v>
      </c>
      <c r="AC449" s="896"/>
      <c r="AD449" s="896"/>
      <c r="AE449" s="896"/>
      <c r="AF449" s="896"/>
      <c r="AG449" s="896"/>
      <c r="AH449" s="896"/>
      <c r="AI449" s="896"/>
      <c r="AJ449" s="896"/>
      <c r="AK449" s="896"/>
      <c r="AL449" s="896"/>
      <c r="AM449" s="896"/>
      <c r="AN449" s="896"/>
      <c r="AO449" s="896"/>
      <c r="AP449" s="896"/>
      <c r="AQ449" s="896"/>
    </row>
    <row r="450" spans="4:43" ht="36" customHeight="1" outlineLevel="1">
      <c r="D450" s="1">
        <v>48</v>
      </c>
      <c r="AB450" s="896"/>
      <c r="AC450" s="896"/>
      <c r="AD450" s="896"/>
      <c r="AE450" s="896"/>
      <c r="AF450" s="896"/>
      <c r="AG450" s="896"/>
      <c r="AH450" s="896"/>
      <c r="AI450" s="896"/>
      <c r="AJ450" s="896"/>
      <c r="AK450" s="896"/>
      <c r="AL450" s="896"/>
      <c r="AM450" s="896"/>
      <c r="AN450" s="896"/>
      <c r="AO450" s="896"/>
      <c r="AP450" s="896"/>
      <c r="AQ450" s="896"/>
    </row>
    <row r="451" spans="4:43" ht="36" customHeight="1" outlineLevel="1">
      <c r="D451" s="1">
        <v>48</v>
      </c>
      <c r="AB451" s="896" t="s">
        <v>1473</v>
      </c>
      <c r="AC451" s="896"/>
      <c r="AD451" s="896"/>
      <c r="AE451" s="896"/>
      <c r="AF451" s="896"/>
      <c r="AG451" s="896"/>
      <c r="AH451" s="896"/>
      <c r="AI451" s="896"/>
      <c r="AJ451" s="896"/>
      <c r="AK451" s="896"/>
      <c r="AL451" s="896"/>
      <c r="AM451" s="896"/>
      <c r="AN451" s="896"/>
      <c r="AO451" s="896"/>
      <c r="AP451" s="896"/>
      <c r="AQ451" s="896"/>
    </row>
    <row r="452" spans="4:43" ht="36" customHeight="1" outlineLevel="1">
      <c r="D452" s="1">
        <v>48</v>
      </c>
      <c r="AB452" s="896" t="e">
        <f>$AG$27&amp;" планирует по статье «Другие прочие расходы» на "&amp;PRD&amp;" год "&amp;ROUND(#REF!,2)&amp;" тыс.руб. Экономически обоснованные фактические расходы за "&amp;PRD-2&amp;" год составили."&amp;ROUND(#REF!,2)&amp;" тыс.руб."</f>
        <v>#REF!</v>
      </c>
      <c r="AC452" s="896"/>
      <c r="AD452" s="896"/>
      <c r="AE452" s="896"/>
      <c r="AF452" s="896"/>
      <c r="AG452" s="896"/>
      <c r="AH452" s="896"/>
      <c r="AI452" s="896"/>
      <c r="AJ452" s="896"/>
      <c r="AK452" s="896"/>
      <c r="AL452" s="896"/>
      <c r="AM452" s="896"/>
      <c r="AN452" s="896"/>
      <c r="AO452" s="896"/>
      <c r="AP452" s="896"/>
      <c r="AQ452" s="896"/>
    </row>
    <row r="453" spans="4:43" ht="24" customHeight="1" outlineLevel="1">
      <c r="D453" s="1">
        <v>32</v>
      </c>
      <c r="AB453" s="907"/>
      <c r="AC453" s="907"/>
      <c r="AD453" s="907"/>
      <c r="AE453" s="907"/>
      <c r="AF453" s="907"/>
      <c r="AG453" s="907"/>
      <c r="AH453" s="907"/>
      <c r="AI453" s="907"/>
      <c r="AJ453" s="907"/>
      <c r="AK453" s="907"/>
      <c r="AL453" s="907"/>
      <c r="AM453" s="907"/>
      <c r="AN453" s="907"/>
      <c r="AO453" s="907"/>
      <c r="AP453" s="907"/>
      <c r="AQ453" s="907"/>
    </row>
    <row r="454" spans="4:43" ht="18" customHeight="1" outlineLevel="1">
      <c r="D454" s="1">
        <v>24</v>
      </c>
      <c r="AC454" s="914"/>
      <c r="AD454" s="915"/>
      <c r="AE454" s="915"/>
      <c r="AF454" s="915"/>
      <c r="AG454" s="916"/>
      <c r="AH454" s="329">
        <f>PRD</f>
        <v>2026</v>
      </c>
      <c r="AI454" s="329">
        <f>PRD</f>
        <v>2026</v>
      </c>
      <c r="AJ454" s="920" t="s">
        <v>941</v>
      </c>
      <c r="AK454" s="921"/>
      <c r="AL454" s="922" t="s">
        <v>1474</v>
      </c>
      <c r="AM454" s="923"/>
      <c r="AN454" s="923"/>
      <c r="AO454" s="923"/>
      <c r="AP454" s="923"/>
      <c r="AQ454" s="924"/>
    </row>
    <row r="455" spans="4:43" ht="33.75" customHeight="1" outlineLevel="1">
      <c r="D455" s="1">
        <v>45</v>
      </c>
      <c r="AC455" s="917"/>
      <c r="AD455" s="918"/>
      <c r="AE455" s="918"/>
      <c r="AF455" s="918"/>
      <c r="AG455" s="919"/>
      <c r="AH455" s="325" t="s">
        <v>943</v>
      </c>
      <c r="AI455" s="313" t="s">
        <v>755</v>
      </c>
      <c r="AJ455" s="313" t="s">
        <v>633</v>
      </c>
      <c r="AK455" s="313" t="s">
        <v>1475</v>
      </c>
      <c r="AL455" s="925"/>
      <c r="AM455" s="926"/>
      <c r="AN455" s="926"/>
      <c r="AO455" s="926"/>
      <c r="AP455" s="926"/>
      <c r="AQ455" s="927"/>
    </row>
    <row r="456" spans="4:43" ht="33.75" customHeight="1" outlineLevel="1">
      <c r="D456" s="1">
        <v>45</v>
      </c>
      <c r="AC456" s="928" t="s">
        <v>975</v>
      </c>
      <c r="AD456" s="929"/>
      <c r="AE456" s="929"/>
      <c r="AF456" s="930"/>
      <c r="AG456" s="334" t="s">
        <v>619</v>
      </c>
      <c r="AH456" s="321">
        <f>IFERROR(#REF!,0)</f>
        <v>0</v>
      </c>
      <c r="AI456" s="321">
        <f>IFERROR(#REF!,0)</f>
        <v>0</v>
      </c>
      <c r="AJ456" s="330" t="str">
        <f>IFERROR(IF(AH456=0,"-",AI456/AH456),0)</f>
        <v>-</v>
      </c>
      <c r="AK456" s="321">
        <f>IFERROR(AI456-AH456,0)</f>
        <v>0</v>
      </c>
      <c r="AL456" s="912" t="e">
        <f>IF(#REF!="","",#REF!)</f>
        <v>#REF!</v>
      </c>
      <c r="AM456" s="913"/>
      <c r="AN456" s="913"/>
      <c r="AO456" s="913"/>
      <c r="AP456" s="913"/>
      <c r="AQ456" s="913"/>
    </row>
    <row r="457" spans="4:43" ht="33.75" customHeight="1" outlineLevel="1">
      <c r="D457" s="1">
        <v>45</v>
      </c>
      <c r="AC457" s="909" t="s">
        <v>976</v>
      </c>
      <c r="AD457" s="910"/>
      <c r="AE457" s="910"/>
      <c r="AF457" s="911"/>
      <c r="AG457" s="313" t="s">
        <v>619</v>
      </c>
      <c r="AH457" s="321">
        <f>IFERROR(#REF!,0)</f>
        <v>0</v>
      </c>
      <c r="AI457" s="321">
        <f>IFERROR(#REF!,0)</f>
        <v>0</v>
      </c>
      <c r="AJ457" s="330" t="str">
        <f>IFERROR(IF(AH457=0,"-",AI457/AH457),0)</f>
        <v>-</v>
      </c>
      <c r="AK457" s="321">
        <f>IFERROR(AI457-AH457,0)</f>
        <v>0</v>
      </c>
      <c r="AL457" s="912" t="e">
        <f>IF(#REF!="","",#REF!)</f>
        <v>#REF!</v>
      </c>
      <c r="AM457" s="913"/>
      <c r="AN457" s="913"/>
      <c r="AO457" s="913"/>
      <c r="AP457" s="913"/>
      <c r="AQ457" s="913"/>
    </row>
    <row r="458" spans="4:43" ht="33.75" customHeight="1" outlineLevel="1">
      <c r="D458" s="1">
        <v>45</v>
      </c>
      <c r="AC458" s="909" t="s">
        <v>977</v>
      </c>
      <c r="AD458" s="910"/>
      <c r="AE458" s="910"/>
      <c r="AF458" s="911"/>
      <c r="AG458" s="313" t="s">
        <v>619</v>
      </c>
      <c r="AH458" s="321">
        <f>IFERROR(#REF!,0)</f>
        <v>0</v>
      </c>
      <c r="AI458" s="321">
        <f>IFERROR(#REF!,0)</f>
        <v>0</v>
      </c>
      <c r="AJ458" s="330" t="str">
        <f>IFERROR(IF(AH458=0,"-",AI458/AH458),0)</f>
        <v>-</v>
      </c>
      <c r="AK458" s="321">
        <f>IFERROR(AI458-AH458,0)</f>
        <v>0</v>
      </c>
      <c r="AL458" s="912" t="e">
        <f>IF(#REF!="","",#REF!)</f>
        <v>#REF!</v>
      </c>
      <c r="AM458" s="913"/>
      <c r="AN458" s="913"/>
      <c r="AO458" s="913"/>
      <c r="AP458" s="913"/>
      <c r="AQ458" s="913"/>
    </row>
    <row r="459" spans="4:43" ht="36" customHeight="1" outlineLevel="1">
      <c r="D459" s="1">
        <v>48</v>
      </c>
      <c r="AB459" s="896" t="s">
        <v>1477</v>
      </c>
      <c r="AC459" s="896"/>
      <c r="AD459" s="896"/>
      <c r="AE459" s="896"/>
      <c r="AF459" s="896"/>
      <c r="AG459" s="896"/>
      <c r="AH459" s="896"/>
      <c r="AI459" s="896"/>
      <c r="AJ459" s="896"/>
      <c r="AK459" s="896"/>
      <c r="AL459" s="896"/>
      <c r="AM459" s="896"/>
      <c r="AN459" s="896"/>
      <c r="AO459" s="896"/>
      <c r="AP459" s="896"/>
      <c r="AQ459" s="896"/>
    </row>
    <row r="460" spans="4:43" ht="36" customHeight="1" outlineLevel="1">
      <c r="D460" s="1">
        <v>48</v>
      </c>
      <c r="AB460" s="896" t="e">
        <f>"Расходы по статье Другие прочие расходы принимаются экспертами в размере "&amp;ROUND(#REF!,2)&amp;" тыс.руб."</f>
        <v>#REF!</v>
      </c>
      <c r="AC460" s="896"/>
      <c r="AD460" s="896"/>
      <c r="AE460" s="896"/>
      <c r="AF460" s="896"/>
      <c r="AG460" s="896"/>
      <c r="AH460" s="896"/>
      <c r="AI460" s="896"/>
      <c r="AJ460" s="896"/>
      <c r="AK460" s="896"/>
      <c r="AL460" s="896"/>
      <c r="AM460" s="896"/>
      <c r="AN460" s="896"/>
      <c r="AO460" s="896"/>
      <c r="AP460" s="896"/>
      <c r="AQ460" s="896"/>
    </row>
    <row r="461" spans="4:43" ht="24" customHeight="1">
      <c r="D461" s="1">
        <v>32</v>
      </c>
      <c r="AB461" s="907"/>
      <c r="AC461" s="907"/>
      <c r="AD461" s="907"/>
      <c r="AE461" s="907"/>
      <c r="AF461" s="907"/>
      <c r="AG461" s="907"/>
      <c r="AH461" s="907"/>
      <c r="AI461" s="907"/>
      <c r="AJ461" s="907"/>
      <c r="AK461" s="907"/>
      <c r="AL461" s="907"/>
      <c r="AM461" s="907"/>
      <c r="AN461" s="907"/>
      <c r="AO461" s="907"/>
      <c r="AP461" s="907"/>
      <c r="AQ461" s="907"/>
    </row>
    <row r="462" spans="4:43" ht="21" customHeight="1" outlineLevel="1">
      <c r="D462" s="1">
        <v>28</v>
      </c>
      <c r="AA462" s="781"/>
      <c r="AB462" s="898" t="s">
        <v>1487</v>
      </c>
      <c r="AC462" s="898" t="s">
        <v>1487</v>
      </c>
      <c r="AD462" s="781"/>
      <c r="AE462" s="781"/>
      <c r="AF462" s="781"/>
      <c r="AG462" s="781"/>
      <c r="AH462" s="781"/>
      <c r="AI462" s="781"/>
      <c r="AJ462" s="781"/>
      <c r="AK462" s="781"/>
      <c r="AL462" s="781"/>
      <c r="AM462" s="781"/>
      <c r="AN462" s="781"/>
      <c r="AO462" s="781"/>
      <c r="AP462" s="781"/>
      <c r="AQ462" s="781"/>
    </row>
    <row r="463" spans="4:43" ht="21" customHeight="1" outlineLevel="1">
      <c r="D463" s="1">
        <v>28</v>
      </c>
      <c r="AA463" s="781"/>
      <c r="AB463" s="896" t="e">
        <f>"По данной статье организация планирует расходов на сумму "&amp;ROUND(#REF!,2)&amp;" тыс.руб. Фактические расходы за "&amp;PRD-2&amp;" год составили -"&amp;ROUND(#REF!,2)&amp;" тыс.руб. "</f>
        <v>#REF!</v>
      </c>
      <c r="AC463" s="896"/>
      <c r="AD463" s="896"/>
      <c r="AE463" s="896"/>
      <c r="AF463" s="896"/>
      <c r="AG463" s="896"/>
      <c r="AH463" s="896"/>
      <c r="AI463" s="896"/>
      <c r="AJ463" s="896"/>
      <c r="AK463" s="896"/>
      <c r="AL463" s="896"/>
      <c r="AM463" s="896"/>
      <c r="AN463" s="896"/>
      <c r="AO463" s="896"/>
      <c r="AP463" s="896"/>
      <c r="AQ463" s="896"/>
    </row>
    <row r="464" spans="4:43" ht="18" customHeight="1" outlineLevel="1">
      <c r="D464" s="1">
        <v>24</v>
      </c>
      <c r="AB464" s="896" t="str">
        <f>"В качестве обоснования расходов "&amp;AG27&amp;" представлены следующие документы:"</f>
        <v>В качестве обоснования расходов МУП "Горэлектросети" представлены следующие документы:</v>
      </c>
      <c r="AC464" s="896"/>
      <c r="AD464" s="896"/>
      <c r="AE464" s="896"/>
      <c r="AF464" s="896"/>
      <c r="AG464" s="896"/>
      <c r="AH464" s="896"/>
      <c r="AI464" s="896"/>
      <c r="AJ464" s="896"/>
      <c r="AK464" s="896"/>
      <c r="AL464" s="896"/>
      <c r="AM464" s="896"/>
      <c r="AN464" s="896"/>
      <c r="AO464" s="896"/>
      <c r="AP464" s="896"/>
      <c r="AQ464" s="896"/>
    </row>
    <row r="465" spans="4:43" ht="18" customHeight="1" outlineLevel="1">
      <c r="D465" s="1">
        <v>24</v>
      </c>
      <c r="AB465" s="896" t="str">
        <f>"  - расшифровка прочих расходов и доходов за "&amp;PRD-2&amp;" год;"</f>
        <v xml:space="preserve">  - расшифровка прочих расходов и доходов за 2024 год;</v>
      </c>
      <c r="AC465" s="896"/>
      <c r="AD465" s="896"/>
      <c r="AE465" s="896"/>
      <c r="AF465" s="896"/>
      <c r="AG465" s="896"/>
      <c r="AH465" s="896"/>
      <c r="AI465" s="896"/>
      <c r="AJ465" s="896"/>
      <c r="AK465" s="896"/>
      <c r="AL465" s="896"/>
      <c r="AM465" s="896"/>
      <c r="AN465" s="896"/>
      <c r="AO465" s="896"/>
      <c r="AP465" s="896"/>
      <c r="AQ465" s="896"/>
    </row>
    <row r="466" spans="4:43" ht="18" customHeight="1" outlineLevel="1">
      <c r="D466" s="1">
        <v>24</v>
      </c>
      <c r="AB466" s="896" t="s">
        <v>1488</v>
      </c>
      <c r="AC466" s="896"/>
      <c r="AD466" s="896"/>
      <c r="AE466" s="896"/>
      <c r="AF466" s="896"/>
      <c r="AG466" s="896"/>
      <c r="AH466" s="896"/>
      <c r="AI466" s="896"/>
      <c r="AJ466" s="896"/>
      <c r="AK466" s="896"/>
      <c r="AL466" s="896"/>
      <c r="AM466" s="896"/>
      <c r="AN466" s="896"/>
      <c r="AO466" s="896"/>
      <c r="AP466" s="896"/>
      <c r="AQ466" s="896"/>
    </row>
    <row r="467" spans="4:43" ht="18" customHeight="1" outlineLevel="1">
      <c r="D467" s="1">
        <v>24</v>
      </c>
      <c r="AB467" s="896" t="s">
        <v>1489</v>
      </c>
      <c r="AC467" s="896"/>
      <c r="AD467" s="896"/>
      <c r="AE467" s="896"/>
      <c r="AF467" s="896"/>
      <c r="AG467" s="896"/>
      <c r="AH467" s="896"/>
      <c r="AI467" s="896"/>
      <c r="AJ467" s="896"/>
      <c r="AK467" s="896"/>
      <c r="AL467" s="896"/>
      <c r="AM467" s="896"/>
      <c r="AN467" s="896"/>
      <c r="AO467" s="896"/>
      <c r="AP467" s="896"/>
      <c r="AQ467" s="896"/>
    </row>
    <row r="468" spans="4:43" ht="18" customHeight="1" outlineLevel="1">
      <c r="D468" s="1">
        <v>24</v>
      </c>
      <c r="AB468" s="896"/>
      <c r="AC468" s="896"/>
      <c r="AD468" s="896"/>
      <c r="AE468" s="896"/>
      <c r="AF468" s="896"/>
      <c r="AG468" s="896"/>
      <c r="AH468" s="896"/>
      <c r="AI468" s="896"/>
      <c r="AJ468" s="896"/>
      <c r="AK468" s="896"/>
      <c r="AL468" s="896"/>
      <c r="AM468" s="896"/>
      <c r="AN468" s="896"/>
      <c r="AO468" s="896"/>
      <c r="AP468" s="896"/>
      <c r="AQ468" s="896"/>
    </row>
    <row r="469" spans="4:43" ht="18" customHeight="1" outlineLevel="1">
      <c r="D469">
        <v>24</v>
      </c>
      <c r="AB469" s="781"/>
      <c r="AC469" s="781"/>
      <c r="AD469" s="781"/>
      <c r="AE469" s="781"/>
      <c r="AF469" s="781"/>
      <c r="AG469" s="781"/>
      <c r="AH469" s="781"/>
      <c r="AI469" s="781"/>
      <c r="AJ469" s="781"/>
      <c r="AK469" s="781"/>
      <c r="AL469" s="781"/>
      <c r="AM469" s="781"/>
      <c r="AN469" s="781"/>
      <c r="AO469" s="781"/>
      <c r="AP469" s="781"/>
      <c r="AQ469" s="781"/>
    </row>
    <row r="470" spans="4:43" ht="18" customHeight="1" outlineLevel="1">
      <c r="D470" s="1">
        <v>24</v>
      </c>
      <c r="AC470" s="914"/>
      <c r="AD470" s="915"/>
      <c r="AE470" s="915"/>
      <c r="AF470" s="915"/>
      <c r="AG470" s="916"/>
      <c r="AH470" s="329">
        <f>PRD</f>
        <v>2026</v>
      </c>
      <c r="AI470" s="329">
        <f>PRD</f>
        <v>2026</v>
      </c>
      <c r="AJ470" s="920" t="s">
        <v>941</v>
      </c>
      <c r="AK470" s="921"/>
      <c r="AL470" s="922" t="s">
        <v>1474</v>
      </c>
      <c r="AM470" s="923"/>
      <c r="AN470" s="923"/>
      <c r="AO470" s="923"/>
      <c r="AP470" s="923"/>
      <c r="AQ470" s="924"/>
    </row>
    <row r="471" spans="4:43" ht="33.75" customHeight="1" outlineLevel="1">
      <c r="D471" s="1">
        <v>45</v>
      </c>
      <c r="AC471" s="917"/>
      <c r="AD471" s="918"/>
      <c r="AE471" s="918"/>
      <c r="AF471" s="918"/>
      <c r="AG471" s="919"/>
      <c r="AH471" s="325" t="s">
        <v>943</v>
      </c>
      <c r="AI471" s="313" t="s">
        <v>755</v>
      </c>
      <c r="AJ471" s="313" t="s">
        <v>633</v>
      </c>
      <c r="AK471" s="313" t="s">
        <v>1475</v>
      </c>
      <c r="AL471" s="925"/>
      <c r="AM471" s="926"/>
      <c r="AN471" s="926"/>
      <c r="AO471" s="926"/>
      <c r="AP471" s="926"/>
      <c r="AQ471" s="927"/>
    </row>
    <row r="472" spans="4:43" ht="33.75" customHeight="1" outlineLevel="1">
      <c r="D472" s="1">
        <v>45</v>
      </c>
      <c r="AC472" s="1000" t="s">
        <v>978</v>
      </c>
      <c r="AD472" s="1001"/>
      <c r="AE472" s="1001"/>
      <c r="AF472" s="1002"/>
      <c r="AG472" s="313" t="s">
        <v>619</v>
      </c>
      <c r="AH472" s="321">
        <f>IFERROR(#REF!,0)</f>
        <v>0</v>
      </c>
      <c r="AI472" s="321">
        <f>IFERROR(#REF!,0)</f>
        <v>0</v>
      </c>
      <c r="AJ472" s="330" t="str">
        <f>IFERROR(IF(AH472=0,"-",AI472/AH472),0)</f>
        <v>-</v>
      </c>
      <c r="AK472" s="321">
        <f>IFERROR(AI472-AH472,0)</f>
        <v>0</v>
      </c>
      <c r="AL472" s="912" t="e">
        <f>IF(#REF!="","",#REF!)</f>
        <v>#REF!</v>
      </c>
      <c r="AM472" s="913"/>
      <c r="AN472" s="913"/>
      <c r="AO472" s="913"/>
      <c r="AP472" s="913"/>
      <c r="AQ472" s="913"/>
    </row>
    <row r="473" spans="4:43" ht="33.75" customHeight="1" outlineLevel="1">
      <c r="D473" s="1">
        <v>45</v>
      </c>
      <c r="AC473" s="909" t="s">
        <v>979</v>
      </c>
      <c r="AD473" s="910"/>
      <c r="AE473" s="910"/>
      <c r="AF473" s="911"/>
      <c r="AG473" s="313" t="s">
        <v>619</v>
      </c>
      <c r="AH473" s="321">
        <f>IFERROR(#REF!,0)</f>
        <v>0</v>
      </c>
      <c r="AI473" s="321">
        <f>IFERROR(#REF!,0)</f>
        <v>0</v>
      </c>
      <c r="AJ473" s="330" t="str">
        <f>IFERROR(IF(AH473=0,"-",AI473/AH473),0)</f>
        <v>-</v>
      </c>
      <c r="AK473" s="321">
        <f>IFERROR(AI473-AH473,0)</f>
        <v>0</v>
      </c>
      <c r="AL473" s="912" t="e">
        <f>IF(#REF!="","",#REF!)</f>
        <v>#REF!</v>
      </c>
      <c r="AM473" s="913"/>
      <c r="AN473" s="913"/>
      <c r="AO473" s="913"/>
      <c r="AP473" s="913"/>
      <c r="AQ473" s="913"/>
    </row>
    <row r="474" spans="4:43" ht="33.75" customHeight="1" outlineLevel="1">
      <c r="D474" s="1">
        <v>45</v>
      </c>
      <c r="AC474" s="909" t="s">
        <v>980</v>
      </c>
      <c r="AD474" s="910"/>
      <c r="AE474" s="910"/>
      <c r="AF474" s="911"/>
      <c r="AG474" s="313" t="s">
        <v>619</v>
      </c>
      <c r="AH474" s="321">
        <f>IFERROR(#REF!,0)</f>
        <v>0</v>
      </c>
      <c r="AI474" s="321">
        <f>IFERROR(#REF!,0)</f>
        <v>0</v>
      </c>
      <c r="AJ474" s="330" t="str">
        <f>IFERROR(IF(AH474=0,"-",AI474/AH474),0)</f>
        <v>-</v>
      </c>
      <c r="AK474" s="321">
        <f>IFERROR(AI474-AH474,0)</f>
        <v>0</v>
      </c>
      <c r="AL474" s="912" t="e">
        <f>IF(#REF!="","",#REF!)</f>
        <v>#REF!</v>
      </c>
      <c r="AM474" s="913"/>
      <c r="AN474" s="913"/>
      <c r="AO474" s="913"/>
      <c r="AP474" s="913"/>
      <c r="AQ474" s="913"/>
    </row>
    <row r="475" spans="4:43" ht="33.75" customHeight="1" outlineLevel="1">
      <c r="D475" s="1">
        <v>45</v>
      </c>
      <c r="AC475" s="909" t="s">
        <v>981</v>
      </c>
      <c r="AD475" s="910"/>
      <c r="AE475" s="910"/>
      <c r="AF475" s="911"/>
      <c r="AG475" s="313" t="s">
        <v>619</v>
      </c>
      <c r="AH475" s="321">
        <f>IFERROR(#REF!,0)</f>
        <v>0</v>
      </c>
      <c r="AI475" s="321">
        <f>IFERROR(#REF!,0)</f>
        <v>0</v>
      </c>
      <c r="AJ475" s="330" t="str">
        <f>IFERROR(IF(AH475=0,"-",AI475/AH475),0)</f>
        <v>-</v>
      </c>
      <c r="AK475" s="321">
        <f>IFERROR(AI475-AH475,0)</f>
        <v>0</v>
      </c>
      <c r="AL475" s="912" t="e">
        <f>IF(#REF!="","",#REF!)</f>
        <v>#REF!</v>
      </c>
      <c r="AM475" s="913"/>
      <c r="AN475" s="913"/>
      <c r="AO475" s="913"/>
      <c r="AP475" s="913"/>
      <c r="AQ475" s="913"/>
    </row>
    <row r="476" spans="4:43" ht="24" customHeight="1" outlineLevel="1">
      <c r="D476" s="1">
        <v>32</v>
      </c>
    </row>
    <row r="477" spans="4:43" ht="33.75" customHeight="1" outlineLevel="1">
      <c r="D477" s="1">
        <v>45</v>
      </c>
      <c r="AB477" s="896" t="str">
        <f>"Экономически обоснованный уровень подконтрольных расходов по данной статье определен экспертами в размере "&amp;ROUND((AI456+AI472),2)&amp;" тыс. руб."</f>
        <v>Экономически обоснованный уровень подконтрольных расходов по данной статье определен экспертами в размере 0 тыс. руб.</v>
      </c>
      <c r="AC477" s="896"/>
      <c r="AD477" s="896"/>
      <c r="AE477" s="896"/>
      <c r="AF477" s="896"/>
      <c r="AG477" s="896"/>
      <c r="AH477" s="896"/>
      <c r="AI477" s="896"/>
      <c r="AJ477" s="896"/>
      <c r="AK477" s="896"/>
      <c r="AL477" s="896"/>
      <c r="AM477" s="896"/>
      <c r="AN477" s="896"/>
      <c r="AO477" s="896"/>
      <c r="AP477" s="896"/>
      <c r="AQ477" s="896"/>
    </row>
    <row r="478" spans="4:43" ht="33.75" customHeight="1" outlineLevel="1">
      <c r="D478" s="1">
        <v>45</v>
      </c>
      <c r="AB478" s="894"/>
      <c r="AC478" s="894"/>
      <c r="AD478" s="894"/>
      <c r="AE478" s="894"/>
      <c r="AF478" s="894"/>
      <c r="AG478" s="894"/>
      <c r="AH478" s="894"/>
      <c r="AI478" s="894"/>
      <c r="AJ478" s="894"/>
      <c r="AK478" s="894"/>
      <c r="AL478" s="894"/>
      <c r="AM478" s="894"/>
      <c r="AN478" s="894"/>
      <c r="AO478" s="894"/>
      <c r="AP478" s="894"/>
      <c r="AQ478" s="894"/>
    </row>
    <row r="479" spans="4:43" ht="33.75" customHeight="1" outlineLevel="1">
      <c r="D479" s="1">
        <v>45</v>
      </c>
      <c r="AB479" s="896" t="e">
        <f>"Экономически обоснованный уровень подконтрольных расходов "&amp;AG27&amp;" на "&amp;PRD&amp;" год (базовый год долгосрочного периода регулирования) определен экспертами методом экономически обоснованных расходов и составил "&amp;ROUND(#REF!,2)&amp;" тыс. руб."</f>
        <v>#REF!</v>
      </c>
      <c r="AC479" s="896"/>
      <c r="AD479" s="896"/>
      <c r="AE479" s="896"/>
      <c r="AF479" s="896"/>
      <c r="AG479" s="896"/>
      <c r="AH479" s="896"/>
      <c r="AI479" s="896"/>
      <c r="AJ479" s="896"/>
      <c r="AK479" s="896"/>
      <c r="AL479" s="896"/>
      <c r="AM479" s="896"/>
      <c r="AN479" s="896"/>
      <c r="AO479" s="896"/>
      <c r="AP479" s="896"/>
      <c r="AQ479" s="896"/>
    </row>
    <row r="480" spans="4:43" ht="33.75" customHeight="1">
      <c r="D480" s="1">
        <v>45</v>
      </c>
    </row>
    <row r="481" spans="4:43" ht="33.75" customHeight="1" outlineLevel="1">
      <c r="D481" s="1">
        <v>45</v>
      </c>
      <c r="AB481" s="898" t="s">
        <v>1490</v>
      </c>
      <c r="AC481" s="781"/>
      <c r="AD481" s="781"/>
      <c r="AE481" s="781"/>
      <c r="AF481" s="781"/>
      <c r="AG481" s="781"/>
      <c r="AH481" s="781"/>
      <c r="AI481" s="781"/>
      <c r="AJ481" s="781"/>
      <c r="AK481" s="781"/>
      <c r="AL481" s="781"/>
      <c r="AM481" s="781"/>
      <c r="AN481" s="781"/>
      <c r="AO481" s="781"/>
      <c r="AP481" s="781"/>
      <c r="AQ481" s="781"/>
    </row>
    <row r="482" spans="4:43" ht="30" customHeight="1" outlineLevel="1">
      <c r="D482" s="1">
        <v>40</v>
      </c>
      <c r="AB482" s="896" t="s">
        <v>1491</v>
      </c>
      <c r="AC482" s="896"/>
      <c r="AD482" s="896"/>
      <c r="AE482" s="896"/>
      <c r="AF482" s="896"/>
      <c r="AG482" s="896"/>
      <c r="AH482" s="896"/>
      <c r="AI482" s="896"/>
      <c r="AJ482" s="896"/>
      <c r="AK482" s="896"/>
      <c r="AL482" s="896"/>
      <c r="AM482" s="896"/>
      <c r="AN482" s="896"/>
      <c r="AO482" s="896"/>
      <c r="AP482" s="896"/>
      <c r="AQ482" s="896"/>
    </row>
    <row r="483" spans="4:43" ht="48" customHeight="1" outlineLevel="1">
      <c r="D483" s="1">
        <v>64</v>
      </c>
      <c r="AB483" s="896" t="s">
        <v>1492</v>
      </c>
      <c r="AC483" s="896"/>
      <c r="AD483" s="896"/>
      <c r="AE483" s="896"/>
      <c r="AF483" s="896"/>
      <c r="AG483" s="896"/>
      <c r="AH483" s="896"/>
      <c r="AI483" s="896"/>
      <c r="AJ483" s="896"/>
      <c r="AK483" s="896"/>
      <c r="AL483" s="896"/>
      <c r="AM483" s="896"/>
      <c r="AN483" s="896"/>
      <c r="AO483" s="896"/>
      <c r="AP483" s="896"/>
      <c r="AQ483" s="896"/>
    </row>
    <row r="484" spans="4:43" ht="48" customHeight="1" outlineLevel="1">
      <c r="D484" s="1">
        <v>64</v>
      </c>
      <c r="AB484" s="896" t="s">
        <v>1493</v>
      </c>
      <c r="AC484" s="896"/>
      <c r="AD484" s="896"/>
      <c r="AE484" s="896"/>
      <c r="AF484" s="896"/>
      <c r="AG484" s="896"/>
      <c r="AH484" s="896"/>
      <c r="AI484" s="896"/>
      <c r="AJ484" s="896"/>
      <c r="AK484" s="896"/>
      <c r="AL484" s="896"/>
      <c r="AM484" s="896"/>
      <c r="AN484" s="896"/>
      <c r="AO484" s="896"/>
      <c r="AP484" s="896"/>
      <c r="AQ484" s="896"/>
    </row>
    <row r="485" spans="4:43" ht="17.25" customHeight="1" outlineLevel="1">
      <c r="D485" s="1">
        <v>23</v>
      </c>
      <c r="AB485" s="896" t="e">
        <f>"Индекс эффективности подконтрольных расходов для "&amp;AG27&amp;" определён экспертами на уровне "&amp;ROUNDDOWN(#REF!*100,1)&amp;"%."</f>
        <v>#REF!</v>
      </c>
      <c r="AC485" s="896"/>
      <c r="AD485" s="896"/>
      <c r="AE485" s="896"/>
      <c r="AF485" s="896"/>
      <c r="AG485" s="896"/>
      <c r="AH485" s="896"/>
      <c r="AI485" s="896"/>
      <c r="AJ485" s="896"/>
      <c r="AK485" s="896"/>
      <c r="AL485" s="896"/>
      <c r="AM485" s="896"/>
      <c r="AN485" s="896"/>
      <c r="AO485" s="896"/>
      <c r="AP485" s="896"/>
      <c r="AQ485" s="896"/>
    </row>
    <row r="486" spans="4:43" ht="18" customHeight="1" outlineLevel="1">
      <c r="D486" s="1">
        <v>24</v>
      </c>
      <c r="AB486" s="896" t="str">
        <f>"Расчёт величины эффективного уровня подконтрольных расходов на "&amp;PRD&amp;" год в формате шаблона  ENERGY.CALC.NVV.TSO лист баз. ур. подк. расх.  (Приложение №3 в приложении к заключению)"</f>
        <v>Расчёт величины эффективного уровня подконтрольных расходов на 2026 год в формате шаблона  ENERGY.CALC.NVV.TSO лист баз. ур. подк. расх.  (Приложение №3 в приложении к заключению)</v>
      </c>
      <c r="AC486" s="896"/>
      <c r="AD486" s="896"/>
      <c r="AE486" s="896"/>
      <c r="AF486" s="896"/>
      <c r="AG486" s="896"/>
      <c r="AH486" s="896"/>
      <c r="AI486" s="896"/>
      <c r="AJ486" s="896"/>
      <c r="AK486" s="896"/>
      <c r="AL486" s="896"/>
      <c r="AM486" s="896"/>
      <c r="AN486" s="896"/>
      <c r="AO486" s="896"/>
      <c r="AP486" s="896"/>
      <c r="AQ486" s="896"/>
    </row>
    <row r="487" spans="4:43" ht="21" customHeight="1" outlineLevel="1">
      <c r="D487" s="1">
        <v>28</v>
      </c>
      <c r="AB487" s="896" t="str">
        <f>"Расчёт базового уровеня подконтрольных расходов "&amp;PRD&amp;" год в формате шаблона ENERGY.CALC.NVV.TSO лист баз.ур.под расх. (Приложение №4 в приложении к заключению) и составляет "&amp;ROUND('баз. ур. подк. расх.'!AE27,2)&amp;"тыс.руб."</f>
        <v>Расчёт базового уровеня подконтрольных расходов 2026 год в формате шаблона ENERGY.CALC.NVV.TSO лист баз.ур.под расх. (Приложение №4 в приложении к заключению) и составляет 0тыс.руб.</v>
      </c>
      <c r="AC487" s="896"/>
      <c r="AD487" s="896"/>
      <c r="AE487" s="896"/>
      <c r="AF487" s="896"/>
      <c r="AG487" s="896"/>
      <c r="AH487" s="896"/>
      <c r="AI487" s="896"/>
      <c r="AJ487" s="896"/>
      <c r="AK487" s="896"/>
      <c r="AL487" s="896"/>
      <c r="AM487" s="896"/>
      <c r="AN487" s="896"/>
      <c r="AO487" s="896"/>
      <c r="AP487" s="896"/>
      <c r="AQ487" s="896"/>
    </row>
    <row r="488" spans="4:43" ht="21" customHeight="1" outlineLevel="1">
      <c r="D488" s="1">
        <v>28</v>
      </c>
      <c r="AB488" s="896" t="str">
        <f>"Подконтрольные расходы на "&amp;Титульный!AC47&amp;"гг., а также планируемые значения параметров расчёта тарифов, с учётом которых произведён расчёт, определены исходя из следующего:"</f>
        <v>Подконтрольные расходы на 2026-2030гг., а также планируемые значения параметров расчёта тарифов, с учётом которых произведён расчёт, определены исходя из следующего:</v>
      </c>
      <c r="AC488" s="896"/>
      <c r="AD488" s="896"/>
      <c r="AE488" s="896"/>
      <c r="AF488" s="896"/>
      <c r="AG488" s="896"/>
      <c r="AH488" s="896"/>
      <c r="AI488" s="896"/>
      <c r="AJ488" s="896"/>
      <c r="AK488" s="896"/>
      <c r="AL488" s="896"/>
      <c r="AM488" s="896"/>
      <c r="AN488" s="896"/>
      <c r="AO488" s="896"/>
      <c r="AP488" s="896"/>
      <c r="AQ488" s="896"/>
    </row>
    <row r="489" spans="4:43" ht="21" customHeight="1" outlineLevel="1">
      <c r="D489" s="1">
        <v>28</v>
      </c>
      <c r="AB489" s="896" t="e">
        <f>"1. Базовый уровень подконтрольных расходов на "&amp;PRD&amp;"  год – "&amp;ROUND(#REF!,2)&amp;" тыс. руб."</f>
        <v>#REF!</v>
      </c>
      <c r="AC489" s="896"/>
      <c r="AD489" s="896"/>
      <c r="AE489" s="896"/>
      <c r="AF489" s="896"/>
      <c r="AG489" s="896"/>
      <c r="AH489" s="896"/>
      <c r="AI489" s="896"/>
      <c r="AJ489" s="896"/>
      <c r="AK489" s="896"/>
      <c r="AL489" s="896"/>
      <c r="AM489" s="896"/>
      <c r="AN489" s="896"/>
      <c r="AO489" s="896"/>
      <c r="AP489" s="896"/>
      <c r="AQ489" s="896"/>
    </row>
    <row r="490" spans="4:43" ht="21" customHeight="1" outlineLevel="1">
      <c r="D490" s="1">
        <v>28</v>
      </c>
      <c r="AB490" s="896" t="e">
        <f>"2. Индекс эффективности подконтрольных расходов - "&amp;ROUND(#REF!*100,2)&amp;"%;"</f>
        <v>#REF!</v>
      </c>
      <c r="AC490" s="896"/>
      <c r="AD490" s="896"/>
      <c r="AE490" s="896"/>
      <c r="AF490" s="896"/>
      <c r="AG490" s="896"/>
      <c r="AH490" s="896"/>
      <c r="AI490" s="896"/>
      <c r="AJ490" s="896"/>
      <c r="AK490" s="896"/>
      <c r="AL490" s="896"/>
      <c r="AM490" s="896"/>
      <c r="AN490" s="896"/>
      <c r="AO490" s="896"/>
      <c r="AP490" s="896"/>
      <c r="AQ490" s="896"/>
    </row>
    <row r="491" spans="4:43" ht="21" customHeight="1" outlineLevel="1">
      <c r="D491" s="1">
        <v>28</v>
      </c>
      <c r="AB491" s="896" t="s">
        <v>1494</v>
      </c>
      <c r="AC491" s="896"/>
      <c r="AD491" s="896"/>
      <c r="AE491" s="896"/>
      <c r="AF491" s="896"/>
      <c r="AG491" s="896"/>
      <c r="AH491" s="896"/>
      <c r="AI491" s="896"/>
      <c r="AJ491" s="896"/>
      <c r="AK491" s="896"/>
      <c r="AL491" s="896"/>
      <c r="AM491" s="896"/>
      <c r="AN491" s="896"/>
      <c r="AO491" s="896"/>
      <c r="AP491" s="896"/>
      <c r="AQ491" s="896"/>
    </row>
    <row r="492" spans="4:43" ht="21" customHeight="1" outlineLevel="1">
      <c r="D492" s="1">
        <v>28</v>
      </c>
      <c r="AB492" s="896" t="e">
        <f>"4. Индекс потребительских цен ("&amp;ROUND(#REF!*100,2)&amp;" % - "&amp;PRD&amp;" к "&amp;PRD-1&amp;") определён в соответствии с Прогнозом социально-экономического развития Российской Федерации на период до 2024 г.;"</f>
        <v>#REF!</v>
      </c>
      <c r="AC492" s="896"/>
      <c r="AD492" s="896"/>
      <c r="AE492" s="896"/>
      <c r="AF492" s="896"/>
      <c r="AG492" s="896"/>
      <c r="AH492" s="896"/>
      <c r="AI492" s="896"/>
      <c r="AJ492" s="896"/>
      <c r="AK492" s="896"/>
      <c r="AL492" s="896"/>
      <c r="AM492" s="896"/>
      <c r="AN492" s="896"/>
      <c r="AO492" s="896"/>
      <c r="AP492" s="896"/>
      <c r="AQ492" s="896"/>
    </row>
    <row r="493" spans="4:43" ht="21" customHeight="1" outlineLevel="1">
      <c r="D493" s="1">
        <v>28</v>
      </c>
      <c r="AB493" s="896" t="e">
        <f>"5. Объем активов – "&amp;ROUND(#REF!,2)&amp;" у.е."</f>
        <v>#REF!</v>
      </c>
      <c r="AC493" s="896"/>
      <c r="AD493" s="896"/>
      <c r="AE493" s="896"/>
      <c r="AF493" s="896"/>
      <c r="AG493" s="896"/>
      <c r="AH493" s="896"/>
      <c r="AI493" s="896"/>
      <c r="AJ493" s="896"/>
      <c r="AK493" s="896"/>
      <c r="AL493" s="896"/>
      <c r="AM493" s="896"/>
      <c r="AN493" s="896"/>
      <c r="AO493" s="896"/>
      <c r="AP493" s="896"/>
      <c r="AQ493" s="896"/>
    </row>
    <row r="494" spans="4:43" ht="33" customHeight="1" outlineLevel="1">
      <c r="D494" s="1">
        <v>44</v>
      </c>
      <c r="AB494" s="896" t="str">
        <f>"Подконтрольные расходы на "&amp;Титульный!AC47&amp;" гг. рассчитаны экспертами исходя из базового уровня подконтрольных расходов на "&amp;Титульный!AC40&amp;" год в соответствии с п.11 Методических указаний от 17.02.2012 г. № 98-э и составляют:"</f>
        <v>Подконтрольные расходы на 2026-2030 гг. рассчитаны экспертами исходя из базового уровня подконтрольных расходов на 2026 год в соответствии с п.11 Методических указаний от 17.02.2012 г. № 98-э и составляют:</v>
      </c>
      <c r="AC494" s="896"/>
      <c r="AD494" s="896"/>
      <c r="AE494" s="896"/>
      <c r="AF494" s="896"/>
      <c r="AG494" s="896"/>
      <c r="AH494" s="896"/>
      <c r="AI494" s="896"/>
      <c r="AJ494" s="896"/>
      <c r="AK494" s="896"/>
      <c r="AL494" s="896"/>
      <c r="AM494" s="896"/>
      <c r="AN494" s="896"/>
      <c r="AO494" s="896"/>
      <c r="AP494" s="896"/>
      <c r="AQ494" s="896"/>
    </row>
    <row r="495" spans="4:43" ht="33.75" customHeight="1">
      <c r="D495" s="1">
        <v>45</v>
      </c>
      <c r="AC495" s="976"/>
      <c r="AD495" s="976"/>
      <c r="AE495" s="976"/>
      <c r="AF495" s="976"/>
      <c r="AG495" s="976"/>
      <c r="AH495" s="329" t="e">
        <f>#REF!</f>
        <v>#REF!</v>
      </c>
      <c r="AI495" s="312" t="e">
        <f>AH495+1</f>
        <v>#REF!</v>
      </c>
      <c r="AJ495" s="312" t="e">
        <f>AI495+1</f>
        <v>#REF!</v>
      </c>
      <c r="AK495" s="312" t="e">
        <f>AJ495+1</f>
        <v>#REF!</v>
      </c>
      <c r="AL495" s="312" t="e">
        <f>AK495+1</f>
        <v>#REF!</v>
      </c>
    </row>
    <row r="496" spans="4:43" ht="33.75" customHeight="1">
      <c r="D496" s="1">
        <v>45</v>
      </c>
      <c r="AC496" s="986" t="s">
        <v>944</v>
      </c>
      <c r="AD496" s="986"/>
      <c r="AE496" s="986"/>
      <c r="AF496" s="986"/>
      <c r="AG496" s="313" t="s">
        <v>633</v>
      </c>
      <c r="AH496" s="336">
        <f>IFERROR(#REF!,0)</f>
        <v>0</v>
      </c>
      <c r="AI496" s="336">
        <f>IFERROR(#REF!,0)</f>
        <v>0</v>
      </c>
      <c r="AJ496" s="336">
        <f>IFERROR(#REF!,0)</f>
        <v>0</v>
      </c>
      <c r="AK496" s="336">
        <f>IFERROR(#REF!,0)</f>
        <v>0</v>
      </c>
      <c r="AL496" s="336">
        <f>IFERROR(#REF!,0)</f>
        <v>0</v>
      </c>
    </row>
    <row r="497" spans="4:43" ht="33.75" customHeight="1">
      <c r="D497" s="1">
        <v>45</v>
      </c>
      <c r="AC497" s="986" t="s">
        <v>946</v>
      </c>
      <c r="AD497" s="986" t="s">
        <v>633</v>
      </c>
      <c r="AE497" s="986"/>
      <c r="AF497" s="986"/>
      <c r="AG497" s="313" t="s">
        <v>633</v>
      </c>
      <c r="AH497" s="336">
        <f>IFERROR(#REF!,0)</f>
        <v>0</v>
      </c>
      <c r="AI497" s="336">
        <f>IFERROR(#REF!,0)</f>
        <v>0</v>
      </c>
      <c r="AJ497" s="336">
        <f>IFERROR(#REF!,0)</f>
        <v>0</v>
      </c>
      <c r="AK497" s="336">
        <f>IFERROR(#REF!,0)</f>
        <v>0</v>
      </c>
      <c r="AL497" s="336">
        <f>IFERROR(#REF!,0)</f>
        <v>0</v>
      </c>
    </row>
    <row r="498" spans="4:43" ht="33.75" customHeight="1">
      <c r="D498" s="1">
        <v>45</v>
      </c>
      <c r="AC498" s="986" t="s">
        <v>947</v>
      </c>
      <c r="AD498" s="986" t="s">
        <v>696</v>
      </c>
      <c r="AE498" s="986"/>
      <c r="AF498" s="986"/>
      <c r="AG498" s="313" t="s">
        <v>696</v>
      </c>
      <c r="AH498" s="321">
        <f>IFERROR(#REF!,0)</f>
        <v>0</v>
      </c>
      <c r="AI498" s="321">
        <f>IFERROR(#REF!,0)</f>
        <v>0</v>
      </c>
      <c r="AJ498" s="321">
        <f>IFERROR(#REF!,0)</f>
        <v>0</v>
      </c>
      <c r="AK498" s="321">
        <f>IFERROR(#REF!,0)</f>
        <v>0</v>
      </c>
      <c r="AL498" s="321">
        <f>IFERROR(#REF!,0)</f>
        <v>0</v>
      </c>
    </row>
    <row r="499" spans="4:43" ht="33.75" customHeight="1">
      <c r="D499" s="1">
        <v>45</v>
      </c>
      <c r="AC499" s="986" t="s">
        <v>949</v>
      </c>
      <c r="AD499" s="986" t="s">
        <v>633</v>
      </c>
      <c r="AE499" s="986"/>
      <c r="AF499" s="986"/>
      <c r="AG499" s="313" t="s">
        <v>633</v>
      </c>
      <c r="AH499" s="336">
        <f>IFERROR(#REF!,0)</f>
        <v>0</v>
      </c>
      <c r="AI499" s="336">
        <f>IFERROR(#REF!,0)</f>
        <v>0</v>
      </c>
      <c r="AJ499" s="336">
        <f>IFERROR(#REF!,0)</f>
        <v>0</v>
      </c>
      <c r="AK499" s="336">
        <f>IFERROR(#REF!,0)</f>
        <v>0</v>
      </c>
      <c r="AL499" s="336">
        <f>IFERROR(#REF!,0)</f>
        <v>0</v>
      </c>
    </row>
    <row r="500" spans="4:43" ht="33.75" customHeight="1">
      <c r="D500" s="1">
        <v>45</v>
      </c>
      <c r="AC500" s="986" t="s">
        <v>950</v>
      </c>
      <c r="AD500" s="986"/>
      <c r="AE500" s="986"/>
      <c r="AF500" s="986"/>
      <c r="AG500" s="313"/>
      <c r="AH500" s="321">
        <f>IFERROR(#REF!,0)</f>
        <v>0</v>
      </c>
      <c r="AI500" s="321">
        <f>IFERROR(#REF!,0)</f>
        <v>0</v>
      </c>
      <c r="AJ500" s="321">
        <f>IFERROR(#REF!,0)</f>
        <v>0</v>
      </c>
      <c r="AK500" s="321">
        <f>IFERROR(#REF!,0)</f>
        <v>0</v>
      </c>
      <c r="AL500" s="321">
        <f>IFERROR(#REF!,0)</f>
        <v>0</v>
      </c>
    </row>
    <row r="501" spans="4:43" ht="33.75" customHeight="1">
      <c r="D501" s="1">
        <v>45</v>
      </c>
      <c r="AC501" s="986" t="s">
        <v>951</v>
      </c>
      <c r="AD501" s="986"/>
      <c r="AE501" s="986"/>
      <c r="AF501" s="986"/>
      <c r="AG501" s="313"/>
      <c r="AH501" s="337">
        <f>IFERROR(#REF!,0)</f>
        <v>0</v>
      </c>
      <c r="AI501" s="337">
        <f>IFERROR(#REF!,0)</f>
        <v>0</v>
      </c>
      <c r="AJ501" s="337">
        <f>IFERROR(#REF!,0)</f>
        <v>0</v>
      </c>
      <c r="AK501" s="337">
        <f>IFERROR(#REF!,0)</f>
        <v>0</v>
      </c>
      <c r="AL501" s="337">
        <f>IFERROR(#REF!,0)</f>
        <v>0</v>
      </c>
    </row>
    <row r="502" spans="4:43" ht="33.75" customHeight="1">
      <c r="D502" s="1">
        <v>45</v>
      </c>
      <c r="AC502" s="986" t="s">
        <v>984</v>
      </c>
      <c r="AD502" s="986" t="s">
        <v>984</v>
      </c>
      <c r="AE502" s="986"/>
      <c r="AF502" s="986"/>
      <c r="AG502" s="312" t="s">
        <v>619</v>
      </c>
      <c r="AH502" s="321">
        <f>IFERROR(#REF!,0)</f>
        <v>0</v>
      </c>
      <c r="AI502" s="321">
        <f>IFERROR(#REF!,0)</f>
        <v>0</v>
      </c>
      <c r="AJ502" s="321">
        <f>IFERROR(#REF!,0)</f>
        <v>0</v>
      </c>
      <c r="AK502" s="321">
        <f>IFERROR(#REF!,0)</f>
        <v>0</v>
      </c>
      <c r="AL502" s="321">
        <f>IFERROR(#REF!,0)</f>
        <v>0</v>
      </c>
    </row>
    <row r="503" spans="4:43" ht="33.75" customHeight="1">
      <c r="D503" s="1">
        <v>45</v>
      </c>
    </row>
    <row r="504" spans="4:43" ht="17.25" customHeight="1">
      <c r="D504" s="1">
        <v>23</v>
      </c>
      <c r="AB504" s="940" t="s">
        <v>1495</v>
      </c>
      <c r="AC504" s="781"/>
      <c r="AD504" s="781"/>
      <c r="AE504" s="781"/>
      <c r="AF504" s="781"/>
      <c r="AG504" s="781"/>
      <c r="AH504" s="781"/>
      <c r="AI504" s="781"/>
      <c r="AJ504" s="781"/>
      <c r="AK504" s="781"/>
      <c r="AL504" s="781"/>
      <c r="AM504" s="781"/>
      <c r="AN504" s="781"/>
      <c r="AO504" s="781"/>
      <c r="AP504" s="781"/>
      <c r="AQ504" s="781"/>
    </row>
    <row r="505" spans="4:43" ht="15.75" customHeight="1">
      <c r="D505" s="1">
        <v>21</v>
      </c>
    </row>
    <row r="506" spans="4:43" ht="19.5" customHeight="1">
      <c r="D506" s="1">
        <v>26</v>
      </c>
      <c r="AB506" s="896" t="s">
        <v>1496</v>
      </c>
      <c r="AC506" s="896"/>
      <c r="AD506" s="896"/>
      <c r="AE506" s="896"/>
      <c r="AF506" s="896"/>
      <c r="AG506" s="896"/>
      <c r="AH506" s="896"/>
      <c r="AI506" s="896"/>
      <c r="AJ506" s="896"/>
      <c r="AK506" s="896"/>
      <c r="AL506" s="896"/>
      <c r="AM506" s="896"/>
      <c r="AN506" s="896"/>
      <c r="AO506" s="896"/>
      <c r="AP506" s="896"/>
      <c r="AQ506" s="896"/>
    </row>
    <row r="507" spans="4:43" ht="23.25" customHeight="1">
      <c r="D507" s="1">
        <v>31</v>
      </c>
      <c r="AB507" s="310"/>
      <c r="AC507" s="310"/>
      <c r="AD507" s="310"/>
      <c r="AE507" s="310"/>
      <c r="AF507" s="310"/>
      <c r="AG507" s="310"/>
      <c r="AH507" s="310"/>
      <c r="AI507" s="310"/>
      <c r="AJ507" s="310"/>
      <c r="AK507" s="310"/>
      <c r="AL507" s="310"/>
      <c r="AM507" s="310"/>
      <c r="AN507" s="310"/>
      <c r="AO507" s="310"/>
      <c r="AP507" s="310"/>
      <c r="AQ507" s="310"/>
    </row>
    <row r="508" spans="4:43" ht="19.5" customHeight="1" outlineLevel="1">
      <c r="D508" s="1">
        <v>26</v>
      </c>
      <c r="AA508" s="781"/>
      <c r="AB508" s="898" t="s">
        <v>1497</v>
      </c>
      <c r="AC508" s="781"/>
      <c r="AD508" s="781"/>
      <c r="AE508" s="781"/>
      <c r="AF508" s="781"/>
      <c r="AG508" s="781"/>
      <c r="AH508" s="781"/>
      <c r="AI508" s="781"/>
      <c r="AJ508" s="781"/>
      <c r="AK508" s="781"/>
      <c r="AL508" s="781"/>
      <c r="AM508" s="781"/>
      <c r="AN508" s="781"/>
      <c r="AO508" s="781"/>
      <c r="AP508" s="781"/>
      <c r="AQ508" s="781"/>
    </row>
    <row r="509" spans="4:43" ht="39" customHeight="1" outlineLevel="1">
      <c r="D509" s="1">
        <v>52</v>
      </c>
      <c r="AA509" s="781"/>
      <c r="AB509" s="896" t="e">
        <f>"Расходы по статье были утверждены на "&amp;PRD-1&amp;" год, в размере "&amp;ROUND(#REF!,2)&amp;" тыс. руб."</f>
        <v>#REF!</v>
      </c>
      <c r="AC509" s="896"/>
      <c r="AD509" s="896"/>
      <c r="AE509" s="896"/>
      <c r="AF509" s="896"/>
      <c r="AG509" s="896"/>
      <c r="AH509" s="896"/>
      <c r="AI509" s="896"/>
      <c r="AJ509" s="896"/>
      <c r="AK509" s="896"/>
      <c r="AL509" s="896"/>
      <c r="AM509" s="896"/>
      <c r="AN509" s="896"/>
      <c r="AO509" s="896"/>
      <c r="AP509" s="896"/>
      <c r="AQ509" s="896"/>
    </row>
    <row r="510" spans="4:43" ht="39" customHeight="1" outlineLevel="1">
      <c r="D510" s="1">
        <v>52</v>
      </c>
      <c r="AB510" s="896" t="e">
        <f>"Организацией предложено принять расходы на "&amp;PRD&amp;" год, в размере "&amp;ROUND(#REF!,0)&amp;" тыс. руб."</f>
        <v>#REF!</v>
      </c>
      <c r="AC510" s="896"/>
      <c r="AD510" s="896"/>
      <c r="AE510" s="896"/>
      <c r="AF510" s="896"/>
      <c r="AG510" s="896"/>
      <c r="AH510" s="896"/>
      <c r="AI510" s="896"/>
      <c r="AJ510" s="896"/>
      <c r="AK510" s="896"/>
      <c r="AL510" s="896"/>
      <c r="AM510" s="896"/>
      <c r="AN510" s="896"/>
      <c r="AO510" s="896"/>
      <c r="AP510" s="896"/>
      <c r="AQ510" s="896"/>
    </row>
    <row r="511" spans="4:43" ht="39" customHeight="1" outlineLevel="1">
      <c r="D511" s="1">
        <v>52</v>
      </c>
      <c r="AB511" s="896" t="e">
        <f>"Расходы на "&amp;PRD&amp;" год, по статье определены экспертами расчетным путем в размере "&amp;ROUND(#REF!,2)&amp;" тыс. руб. с учетом приказа "</f>
        <v>#REF!</v>
      </c>
      <c r="AC511" s="896"/>
      <c r="AD511" s="896"/>
      <c r="AE511" s="896"/>
      <c r="AF511" s="896"/>
      <c r="AG511" s="896"/>
      <c r="AH511" s="896"/>
      <c r="AI511" s="896"/>
      <c r="AJ511" s="896"/>
      <c r="AK511" s="896"/>
      <c r="AL511" s="896"/>
      <c r="AM511" s="896"/>
      <c r="AN511" s="896"/>
      <c r="AO511" s="896"/>
      <c r="AP511" s="896"/>
      <c r="AQ511" s="896"/>
    </row>
    <row r="512" spans="4:43" ht="33.75" customHeight="1" outlineLevel="1">
      <c r="D512" s="1">
        <v>45</v>
      </c>
      <c r="AB512" s="896"/>
      <c r="AC512" s="896"/>
      <c r="AD512" s="896"/>
      <c r="AE512" s="896"/>
      <c r="AF512" s="896"/>
      <c r="AG512" s="896"/>
      <c r="AH512" s="896"/>
      <c r="AI512" s="896"/>
      <c r="AJ512" s="896"/>
      <c r="AK512" s="896"/>
      <c r="AL512" s="896"/>
      <c r="AM512" s="896"/>
      <c r="AN512" s="896"/>
      <c r="AO512" s="896"/>
      <c r="AP512" s="896"/>
      <c r="AQ512" s="896"/>
    </row>
    <row r="513" spans="4:43" ht="33.75" customHeight="1" outlineLevel="1">
      <c r="D513">
        <v>45</v>
      </c>
      <c r="AB513" s="890"/>
      <c r="AC513" s="890"/>
      <c r="AD513" s="890"/>
      <c r="AE513" s="890"/>
      <c r="AF513" s="890"/>
      <c r="AG513" s="890"/>
      <c r="AH513" s="890"/>
      <c r="AI513" s="890"/>
      <c r="AJ513" s="890"/>
      <c r="AK513" s="890"/>
      <c r="AL513" s="890"/>
      <c r="AM513" s="890"/>
      <c r="AN513" s="890"/>
      <c r="AO513" s="890"/>
      <c r="AP513" s="890"/>
      <c r="AQ513" s="890"/>
    </row>
    <row r="514" spans="4:43" ht="33.75" customHeight="1" outlineLevel="1">
      <c r="D514" s="1">
        <v>45</v>
      </c>
      <c r="AB514" s="338"/>
      <c r="AC514" s="900" t="s">
        <v>608</v>
      </c>
      <c r="AD514" s="900"/>
      <c r="AE514" s="900"/>
      <c r="AF514" s="313" t="s">
        <v>1498</v>
      </c>
      <c r="AG514" s="903" t="e">
        <f>#REF!</f>
        <v>#REF!</v>
      </c>
      <c r="AH514" s="903"/>
      <c r="AI514" s="904" t="e">
        <f>#REF!</f>
        <v>#REF!</v>
      </c>
      <c r="AJ514" s="904"/>
      <c r="AK514" s="338"/>
      <c r="AL514" s="338"/>
      <c r="AM514" s="338"/>
      <c r="AN514" s="338"/>
      <c r="AO514" s="338"/>
      <c r="AP514" s="338"/>
      <c r="AQ514" s="338"/>
    </row>
    <row r="515" spans="4:43" ht="33.75" customHeight="1" outlineLevel="1">
      <c r="D515" s="1">
        <v>45</v>
      </c>
      <c r="AB515" s="338"/>
      <c r="AC515" s="900" t="s">
        <v>1499</v>
      </c>
      <c r="AD515" s="900"/>
      <c r="AE515" s="900"/>
      <c r="AF515" s="313" t="s">
        <v>1218</v>
      </c>
      <c r="AG515" s="905" t="e">
        <f>AG516+AG523</f>
        <v>#REF!</v>
      </c>
      <c r="AH515" s="906"/>
      <c r="AI515" s="905" t="e">
        <f>AI516+AI523</f>
        <v>#REF!</v>
      </c>
      <c r="AJ515" s="906"/>
      <c r="AK515" s="338"/>
      <c r="AL515" s="338"/>
      <c r="AM515" s="338"/>
      <c r="AN515" s="338"/>
      <c r="AO515" s="338"/>
      <c r="AP515" s="338"/>
      <c r="AQ515" s="338"/>
    </row>
    <row r="516" spans="4:43" ht="33.75" customHeight="1" outlineLevel="1">
      <c r="D516" s="1">
        <v>45</v>
      </c>
      <c r="AB516" s="338"/>
      <c r="AC516" s="900" t="s">
        <v>1500</v>
      </c>
      <c r="AD516" s="900"/>
      <c r="AE516" s="900"/>
      <c r="AF516" s="313" t="s">
        <v>1218</v>
      </c>
      <c r="AG516" s="905" t="e">
        <f>AG517+AG520</f>
        <v>#REF!</v>
      </c>
      <c r="AH516" s="906"/>
      <c r="AI516" s="905" t="e">
        <f>AI517+AI520</f>
        <v>#REF!</v>
      </c>
      <c r="AJ516" s="906"/>
      <c r="AK516" s="338"/>
      <c r="AL516" s="338"/>
      <c r="AM516" s="338"/>
      <c r="AN516" s="338"/>
      <c r="AO516" s="338"/>
      <c r="AP516" s="338"/>
      <c r="AQ516" s="338"/>
    </row>
    <row r="517" spans="4:43" ht="33.75" customHeight="1" outlineLevel="1">
      <c r="D517" s="1">
        <v>45</v>
      </c>
      <c r="AB517" s="338"/>
      <c r="AC517" s="900" t="s">
        <v>928</v>
      </c>
      <c r="AD517" s="900"/>
      <c r="AE517" s="900"/>
      <c r="AF517" s="313" t="s">
        <v>1218</v>
      </c>
      <c r="AG517" s="905" t="e">
        <f>AG518*AG519*6/1000</f>
        <v>#REF!</v>
      </c>
      <c r="AH517" s="906"/>
      <c r="AI517" s="905" t="e">
        <f>AI518*AI519*6/1000</f>
        <v>#REF!</v>
      </c>
      <c r="AJ517" s="906"/>
      <c r="AK517" s="338"/>
      <c r="AL517" s="338"/>
      <c r="AM517" s="338"/>
      <c r="AN517" s="338"/>
      <c r="AO517" s="338"/>
      <c r="AP517" s="338"/>
      <c r="AQ517" s="338"/>
    </row>
    <row r="518" spans="4:43" ht="33.75" customHeight="1" outlineLevel="1">
      <c r="D518" s="1">
        <v>45</v>
      </c>
      <c r="AB518" s="338"/>
      <c r="AC518" s="900" t="s">
        <v>1501</v>
      </c>
      <c r="AD518" s="900"/>
      <c r="AE518" s="900"/>
      <c r="AF518" s="313" t="s">
        <v>639</v>
      </c>
      <c r="AG518" s="901" t="e">
        <f>#REF!</f>
        <v>#REF!</v>
      </c>
      <c r="AH518" s="902"/>
      <c r="AI518" s="901" t="e">
        <f>#REF!</f>
        <v>#REF!</v>
      </c>
      <c r="AJ518" s="902"/>
      <c r="AK518" s="338"/>
      <c r="AL518" s="338"/>
      <c r="AM518" s="338"/>
      <c r="AN518" s="338"/>
      <c r="AO518" s="338"/>
      <c r="AP518" s="338"/>
      <c r="AQ518" s="338"/>
    </row>
    <row r="519" spans="4:43" ht="33.75" customHeight="1" outlineLevel="1">
      <c r="D519" s="1">
        <v>45</v>
      </c>
      <c r="AB519" s="338"/>
      <c r="AC519" s="900" t="s">
        <v>1502</v>
      </c>
      <c r="AD519" s="900"/>
      <c r="AE519" s="900"/>
      <c r="AF519" s="313" t="s">
        <v>1503</v>
      </c>
      <c r="AG519" s="901" t="e">
        <f>#REF!</f>
        <v>#REF!</v>
      </c>
      <c r="AH519" s="902"/>
      <c r="AI519" s="901" t="e">
        <f>#REF!</f>
        <v>#REF!</v>
      </c>
      <c r="AJ519" s="902"/>
      <c r="AK519" s="338"/>
      <c r="AL519" s="338"/>
      <c r="AM519" s="338"/>
      <c r="AN519" s="338"/>
      <c r="AO519" s="338"/>
      <c r="AP519" s="338"/>
      <c r="AQ519" s="338"/>
    </row>
    <row r="520" spans="4:43" ht="33.75" customHeight="1" outlineLevel="1">
      <c r="D520" s="1">
        <v>45</v>
      </c>
      <c r="AB520" s="338"/>
      <c r="AC520" s="900" t="s">
        <v>929</v>
      </c>
      <c r="AD520" s="900"/>
      <c r="AE520" s="900"/>
      <c r="AF520" s="313" t="s">
        <v>1218</v>
      </c>
      <c r="AG520" s="905" t="e">
        <f>AG521*AG522*6/1000</f>
        <v>#REF!</v>
      </c>
      <c r="AH520" s="906"/>
      <c r="AI520" s="905" t="e">
        <f>AI521*AI522*6/1000</f>
        <v>#REF!</v>
      </c>
      <c r="AJ520" s="906"/>
      <c r="AK520" s="338"/>
      <c r="AL520" s="338"/>
      <c r="AM520" s="338"/>
      <c r="AN520" s="338"/>
      <c r="AO520" s="338"/>
      <c r="AP520" s="338"/>
      <c r="AQ520" s="338"/>
    </row>
    <row r="521" spans="4:43" ht="33.75" customHeight="1" outlineLevel="1">
      <c r="D521" s="1">
        <v>45</v>
      </c>
      <c r="AB521" s="338"/>
      <c r="AC521" s="900" t="s">
        <v>1501</v>
      </c>
      <c r="AD521" s="900"/>
      <c r="AE521" s="900"/>
      <c r="AF521" s="313" t="s">
        <v>639</v>
      </c>
      <c r="AG521" s="901" t="e">
        <f>#REF!</f>
        <v>#REF!</v>
      </c>
      <c r="AH521" s="902"/>
      <c r="AI521" s="901" t="e">
        <f>#REF!</f>
        <v>#REF!</v>
      </c>
      <c r="AJ521" s="902"/>
      <c r="AK521" s="338"/>
      <c r="AL521" s="338"/>
      <c r="AM521" s="338"/>
      <c r="AN521" s="338"/>
      <c r="AO521" s="338"/>
      <c r="AP521" s="338"/>
      <c r="AQ521" s="338"/>
    </row>
    <row r="522" spans="4:43" ht="33.75" customHeight="1" outlineLevel="1">
      <c r="D522" s="1">
        <v>45</v>
      </c>
      <c r="AB522" s="338"/>
      <c r="AC522" s="900" t="s">
        <v>1502</v>
      </c>
      <c r="AD522" s="900"/>
      <c r="AE522" s="900"/>
      <c r="AF522" s="313" t="s">
        <v>1503</v>
      </c>
      <c r="AG522" s="901" t="e">
        <f>#REF!</f>
        <v>#REF!</v>
      </c>
      <c r="AH522" s="902"/>
      <c r="AI522" s="901" t="e">
        <f>#REF!</f>
        <v>#REF!</v>
      </c>
      <c r="AJ522" s="902"/>
      <c r="AK522" s="338"/>
      <c r="AL522" s="338"/>
      <c r="AM522" s="338"/>
      <c r="AN522" s="338"/>
      <c r="AO522" s="338"/>
      <c r="AP522" s="338"/>
      <c r="AQ522" s="338"/>
    </row>
    <row r="523" spans="4:43" ht="33.75" customHeight="1" outlineLevel="1">
      <c r="D523" s="1">
        <v>45</v>
      </c>
      <c r="AB523" s="338"/>
      <c r="AC523" s="900" t="s">
        <v>1504</v>
      </c>
      <c r="AD523" s="900"/>
      <c r="AE523" s="900"/>
      <c r="AF523" s="313" t="s">
        <v>1218</v>
      </c>
      <c r="AG523" s="905" t="e">
        <f>AG524+AG529</f>
        <v>#REF!</v>
      </c>
      <c r="AH523" s="906"/>
      <c r="AI523" s="905" t="e">
        <f>AI524+AI529</f>
        <v>#REF!</v>
      </c>
      <c r="AJ523" s="906"/>
      <c r="AK523" s="338"/>
      <c r="AL523" s="338"/>
      <c r="AM523" s="338"/>
      <c r="AN523" s="338"/>
      <c r="AO523" s="338"/>
      <c r="AP523" s="338"/>
      <c r="AQ523" s="338"/>
    </row>
    <row r="524" spans="4:43" ht="33.75" customHeight="1" outlineLevel="1">
      <c r="D524" s="1">
        <v>45</v>
      </c>
      <c r="AB524" s="338"/>
      <c r="AC524" s="900" t="s">
        <v>928</v>
      </c>
      <c r="AD524" s="900"/>
      <c r="AE524" s="900"/>
      <c r="AF524" s="313" t="s">
        <v>1218</v>
      </c>
      <c r="AG524" s="905" t="e">
        <f>AG525*AG528</f>
        <v>#REF!</v>
      </c>
      <c r="AH524" s="906"/>
      <c r="AI524" s="905" t="e">
        <f>AI525*AI528</f>
        <v>#REF!</v>
      </c>
      <c r="AJ524" s="906"/>
      <c r="AK524" s="338"/>
      <c r="AL524" s="338"/>
      <c r="AM524" s="338"/>
      <c r="AN524" s="338"/>
      <c r="AO524" s="338"/>
      <c r="AP524" s="338"/>
      <c r="AQ524" s="338"/>
    </row>
    <row r="525" spans="4:43" ht="33.75" customHeight="1" outlineLevel="1">
      <c r="D525" s="1">
        <v>45</v>
      </c>
      <c r="AB525" s="338"/>
      <c r="AC525" s="900" t="s">
        <v>1505</v>
      </c>
      <c r="AD525" s="900"/>
      <c r="AE525" s="900"/>
      <c r="AF525" s="313" t="s">
        <v>1506</v>
      </c>
      <c r="AG525" s="905" t="e">
        <f>AG526*AG527</f>
        <v>#REF!</v>
      </c>
      <c r="AH525" s="906"/>
      <c r="AI525" s="905" t="e">
        <f>AI526*AI527</f>
        <v>#REF!</v>
      </c>
      <c r="AJ525" s="906"/>
      <c r="AK525" s="338"/>
      <c r="AL525" s="338"/>
      <c r="AM525" s="338"/>
      <c r="AN525" s="338"/>
      <c r="AO525" s="338"/>
      <c r="AP525" s="338"/>
      <c r="AQ525" s="338"/>
    </row>
    <row r="526" spans="4:43" ht="33.75" customHeight="1" outlineLevel="1">
      <c r="D526" s="1">
        <v>45</v>
      </c>
      <c r="AB526" s="338"/>
      <c r="AC526" s="900" t="s">
        <v>1507</v>
      </c>
      <c r="AD526" s="900"/>
      <c r="AE526" s="900"/>
      <c r="AF526" s="313" t="s">
        <v>1506</v>
      </c>
      <c r="AG526" s="901" t="e">
        <f>#REF!</f>
        <v>#REF!</v>
      </c>
      <c r="AH526" s="902"/>
      <c r="AI526" s="901" t="e">
        <f>#REF!</f>
        <v>#REF!</v>
      </c>
      <c r="AJ526" s="902"/>
      <c r="AK526" s="338"/>
      <c r="AL526" s="338"/>
      <c r="AM526" s="338"/>
      <c r="AN526" s="338"/>
      <c r="AO526" s="338"/>
      <c r="AP526" s="338"/>
      <c r="AQ526" s="338"/>
    </row>
    <row r="527" spans="4:43" ht="33.75" customHeight="1" outlineLevel="1">
      <c r="D527" s="1">
        <v>45</v>
      </c>
      <c r="AB527" s="338"/>
      <c r="AC527" s="900" t="s">
        <v>1508</v>
      </c>
      <c r="AD527" s="900"/>
      <c r="AE527" s="900"/>
      <c r="AF527" s="313" t="s">
        <v>633</v>
      </c>
      <c r="AG527" s="901" t="e">
        <f>#REF!</f>
        <v>#REF!</v>
      </c>
      <c r="AH527" s="902"/>
      <c r="AI527" s="901" t="e">
        <f>#REF!</f>
        <v>#REF!</v>
      </c>
      <c r="AJ527" s="902"/>
      <c r="AK527" s="338"/>
      <c r="AL527" s="338"/>
      <c r="AM527" s="338"/>
      <c r="AN527" s="338"/>
      <c r="AO527" s="338"/>
      <c r="AP527" s="338"/>
      <c r="AQ527" s="338"/>
    </row>
    <row r="528" spans="4:43" ht="33.75" customHeight="1" outlineLevel="1">
      <c r="D528" s="1">
        <v>45</v>
      </c>
      <c r="AB528" s="338"/>
      <c r="AC528" s="900" t="s">
        <v>1509</v>
      </c>
      <c r="AD528" s="900"/>
      <c r="AE528" s="900"/>
      <c r="AF528" s="313" t="s">
        <v>1033</v>
      </c>
      <c r="AG528" s="901" t="e">
        <f>#REF!</f>
        <v>#REF!</v>
      </c>
      <c r="AH528" s="902"/>
      <c r="AI528" s="901" t="e">
        <f>#REF!</f>
        <v>#REF!</v>
      </c>
      <c r="AJ528" s="902"/>
      <c r="AK528" s="338"/>
      <c r="AL528" s="338"/>
      <c r="AM528" s="338"/>
      <c r="AN528" s="338"/>
      <c r="AO528" s="338"/>
      <c r="AP528" s="338"/>
      <c r="AQ528" s="338"/>
    </row>
    <row r="529" spans="4:43" ht="33.75" customHeight="1" outlineLevel="1">
      <c r="D529" s="1">
        <v>45</v>
      </c>
      <c r="AB529" s="338"/>
      <c r="AC529" s="900" t="s">
        <v>929</v>
      </c>
      <c r="AD529" s="900"/>
      <c r="AE529" s="900"/>
      <c r="AF529" s="313" t="s">
        <v>1218</v>
      </c>
      <c r="AG529" s="905" t="e">
        <f>AG533*AG530</f>
        <v>#REF!</v>
      </c>
      <c r="AH529" s="906"/>
      <c r="AI529" s="905" t="e">
        <f>AI533*AI530</f>
        <v>#REF!</v>
      </c>
      <c r="AJ529" s="906"/>
      <c r="AK529" s="338"/>
      <c r="AL529" s="338"/>
      <c r="AM529" s="338"/>
      <c r="AN529" s="338"/>
      <c r="AO529" s="338"/>
      <c r="AP529" s="338"/>
      <c r="AQ529" s="338"/>
    </row>
    <row r="530" spans="4:43" ht="33.75" customHeight="1" outlineLevel="1">
      <c r="D530" s="1">
        <v>45</v>
      </c>
      <c r="AB530" s="338"/>
      <c r="AC530" s="900" t="s">
        <v>1505</v>
      </c>
      <c r="AD530" s="900"/>
      <c r="AE530" s="900"/>
      <c r="AF530" s="313" t="s">
        <v>1506</v>
      </c>
      <c r="AG530" s="905" t="e">
        <f>AG532*AG531</f>
        <v>#REF!</v>
      </c>
      <c r="AH530" s="906"/>
      <c r="AI530" s="905" t="e">
        <f>AI532*AI531</f>
        <v>#REF!</v>
      </c>
      <c r="AJ530" s="906"/>
      <c r="AK530" s="338"/>
      <c r="AL530" s="338"/>
      <c r="AM530" s="338"/>
      <c r="AN530" s="338"/>
      <c r="AO530" s="338"/>
      <c r="AP530" s="338"/>
      <c r="AQ530" s="338"/>
    </row>
    <row r="531" spans="4:43" ht="33.75" customHeight="1" outlineLevel="1">
      <c r="D531" s="1">
        <v>45</v>
      </c>
      <c r="AB531" s="338"/>
      <c r="AC531" s="900" t="s">
        <v>1507</v>
      </c>
      <c r="AD531" s="900"/>
      <c r="AE531" s="900"/>
      <c r="AF531" s="313" t="s">
        <v>1506</v>
      </c>
      <c r="AG531" s="901" t="e">
        <f>#REF!</f>
        <v>#REF!</v>
      </c>
      <c r="AH531" s="902"/>
      <c r="AI531" s="901" t="e">
        <f>#REF!</f>
        <v>#REF!</v>
      </c>
      <c r="AJ531" s="902"/>
      <c r="AK531" s="338"/>
      <c r="AL531" s="338"/>
      <c r="AM531" s="338"/>
      <c r="AN531" s="338"/>
      <c r="AO531" s="338"/>
      <c r="AP531" s="338"/>
      <c r="AQ531" s="338"/>
    </row>
    <row r="532" spans="4:43" ht="33.75" customHeight="1" outlineLevel="1">
      <c r="D532" s="1">
        <v>45</v>
      </c>
      <c r="AB532" s="338"/>
      <c r="AC532" s="900" t="s">
        <v>1508</v>
      </c>
      <c r="AD532" s="900"/>
      <c r="AE532" s="900"/>
      <c r="AF532" s="313" t="s">
        <v>633</v>
      </c>
      <c r="AG532" s="901" t="e">
        <f>#REF!</f>
        <v>#REF!</v>
      </c>
      <c r="AH532" s="902"/>
      <c r="AI532" s="901" t="e">
        <f>#REF!</f>
        <v>#REF!</v>
      </c>
      <c r="AJ532" s="902"/>
      <c r="AK532" s="338"/>
      <c r="AL532" s="338"/>
      <c r="AM532" s="338"/>
      <c r="AN532" s="338"/>
      <c r="AO532" s="338"/>
      <c r="AP532" s="338"/>
      <c r="AQ532" s="338"/>
    </row>
    <row r="533" spans="4:43" ht="33.75" customHeight="1" outlineLevel="1">
      <c r="D533" s="1">
        <v>45</v>
      </c>
      <c r="AB533" s="338"/>
      <c r="AC533" s="900" t="s">
        <v>1509</v>
      </c>
      <c r="AD533" s="900"/>
      <c r="AE533" s="900"/>
      <c r="AF533" s="313" t="s">
        <v>1033</v>
      </c>
      <c r="AG533" s="901" t="e">
        <f>#REF!</f>
        <v>#REF!</v>
      </c>
      <c r="AH533" s="902"/>
      <c r="AI533" s="901" t="e">
        <f>#REF!</f>
        <v>#REF!</v>
      </c>
      <c r="AJ533" s="902"/>
      <c r="AK533" s="338"/>
      <c r="AL533" s="338"/>
      <c r="AM533" s="338"/>
      <c r="AN533" s="338"/>
      <c r="AO533" s="338"/>
      <c r="AP533" s="338"/>
      <c r="AQ533" s="338"/>
    </row>
    <row r="534" spans="4:43" ht="33.75" customHeight="1">
      <c r="D534" s="1">
        <v>45</v>
      </c>
      <c r="AB534" s="890"/>
      <c r="AC534" s="890"/>
      <c r="AD534" s="890"/>
      <c r="AE534" s="890"/>
      <c r="AF534" s="890"/>
      <c r="AG534" s="890"/>
      <c r="AH534" s="890"/>
      <c r="AI534" s="890"/>
      <c r="AJ534" s="890"/>
      <c r="AK534" s="890"/>
      <c r="AL534" s="890"/>
      <c r="AM534" s="890"/>
      <c r="AN534" s="890"/>
      <c r="AO534" s="890"/>
      <c r="AP534" s="890"/>
      <c r="AQ534" s="890"/>
    </row>
    <row r="535" spans="4:43" ht="19.5" customHeight="1" outlineLevel="1">
      <c r="D535" s="1">
        <v>26</v>
      </c>
      <c r="AA535" s="781"/>
      <c r="AB535" s="898" t="s">
        <v>1510</v>
      </c>
      <c r="AC535" s="781"/>
      <c r="AD535" s="781"/>
      <c r="AE535" s="781"/>
      <c r="AF535" s="781"/>
      <c r="AG535" s="781"/>
      <c r="AH535" s="781"/>
      <c r="AI535" s="781"/>
      <c r="AJ535" s="781"/>
      <c r="AK535" s="781"/>
      <c r="AL535" s="781"/>
      <c r="AM535" s="781"/>
      <c r="AN535" s="781"/>
      <c r="AO535" s="781"/>
      <c r="AP535" s="781"/>
      <c r="AQ535" s="781"/>
    </row>
    <row r="536" spans="4:43" ht="39" customHeight="1" outlineLevel="1">
      <c r="D536" s="1">
        <v>52</v>
      </c>
      <c r="AA536" s="781"/>
      <c r="AB536" s="896" t="e">
        <f>"Фактические расходы в "&amp;PRD-2&amp;" году составили "&amp;ROUND(#REF!,2)&amp;" тыс. руб., в том числе аренда электросетевого хозяйства – "&amp;ROUND(#REF!,2)&amp;" тыс. руб. Утверждённые расходы на "&amp;PRD-1&amp;" год составили "&amp;ROUND(#REF!,2)&amp;" тыс. руб., в том числе аренда электросетевого хозяйства – "&amp;ROUND(#REF!,2)&amp;" тыс. руб. Предприятием планируется на "&amp;PRD&amp;" год по данной статье затрат на аренду в сумме "&amp;ROUND(#REF!,2)&amp;" тыс. руб., в том числе аренда электросетевого хозяйства на сумму "&amp;ROUND(#REF!,2)&amp;" тыс. руб."</f>
        <v>#REF!</v>
      </c>
      <c r="AC536" s="896"/>
      <c r="AD536" s="896"/>
      <c r="AE536" s="896"/>
      <c r="AF536" s="896"/>
      <c r="AG536" s="896"/>
      <c r="AH536" s="896"/>
      <c r="AI536" s="896"/>
      <c r="AJ536" s="896"/>
      <c r="AK536" s="896"/>
      <c r="AL536" s="896"/>
      <c r="AM536" s="896"/>
      <c r="AN536" s="896"/>
      <c r="AO536" s="896"/>
      <c r="AP536" s="896"/>
      <c r="AQ536" s="896"/>
    </row>
    <row r="537" spans="4:43" ht="39" customHeight="1" outlineLevel="1">
      <c r="D537" s="1">
        <v>52</v>
      </c>
      <c r="AB537" s="896" t="s">
        <v>1511</v>
      </c>
      <c r="AC537" s="896"/>
      <c r="AD537" s="896"/>
      <c r="AE537" s="896"/>
      <c r="AF537" s="896"/>
      <c r="AG537" s="896"/>
      <c r="AH537" s="896"/>
      <c r="AI537" s="896"/>
      <c r="AJ537" s="896"/>
      <c r="AK537" s="896"/>
      <c r="AL537" s="896"/>
      <c r="AM537" s="896"/>
      <c r="AN537" s="896"/>
      <c r="AO537" s="896"/>
      <c r="AP537" s="896"/>
      <c r="AQ537" s="896"/>
    </row>
    <row r="538" spans="4:43" ht="39" customHeight="1" outlineLevel="1">
      <c r="D538" s="1">
        <v>52</v>
      </c>
      <c r="AB538" s="896" t="s">
        <v>1512</v>
      </c>
      <c r="AC538" s="896"/>
      <c r="AD538" s="896"/>
      <c r="AE538" s="896"/>
      <c r="AF538" s="896"/>
      <c r="AG538" s="896"/>
      <c r="AH538" s="896"/>
      <c r="AI538" s="896"/>
      <c r="AJ538" s="896"/>
      <c r="AK538" s="896"/>
      <c r="AL538" s="896"/>
      <c r="AM538" s="896"/>
      <c r="AN538" s="896"/>
      <c r="AO538" s="896"/>
      <c r="AP538" s="896"/>
      <c r="AQ538" s="896"/>
    </row>
    <row r="539" spans="4:43" ht="33.75" customHeight="1" outlineLevel="1">
      <c r="D539" s="1">
        <v>45</v>
      </c>
      <c r="AB539" s="896" t="e">
        <f>"Пообъектный расчет аренды электросетевого хозяйства на "&amp;PRD&amp;" год в формате шаблона ENERGY.CALC.NVV.TSO лист Аренда ЭСХ  (Приложение №5 и в приложении к заключению) и составляет "&amp;ROUND(#REF!,2)&amp;"тыс.руб."</f>
        <v>#REF!</v>
      </c>
      <c r="AC539" s="896"/>
      <c r="AD539" s="896"/>
      <c r="AE539" s="896"/>
      <c r="AF539" s="896"/>
      <c r="AG539" s="896"/>
      <c r="AH539" s="896"/>
      <c r="AI539" s="896"/>
      <c r="AJ539" s="896"/>
      <c r="AK539" s="896"/>
      <c r="AL539" s="896"/>
      <c r="AM539" s="896"/>
      <c r="AN539" s="896"/>
      <c r="AO539" s="896"/>
      <c r="AP539" s="896"/>
      <c r="AQ539" s="896"/>
    </row>
    <row r="540" spans="4:43" ht="33.75" customHeight="1" outlineLevel="1">
      <c r="D540" s="1">
        <v>45</v>
      </c>
      <c r="AB540" s="894"/>
      <c r="AC540" s="894"/>
      <c r="AD540" s="894"/>
      <c r="AE540" s="894"/>
      <c r="AF540" s="894"/>
      <c r="AG540" s="894"/>
      <c r="AH540" s="894"/>
      <c r="AI540" s="894"/>
      <c r="AJ540" s="894"/>
      <c r="AK540" s="894"/>
      <c r="AL540" s="894"/>
      <c r="AM540" s="894"/>
      <c r="AN540" s="894"/>
      <c r="AO540" s="894"/>
      <c r="AP540" s="894"/>
      <c r="AQ540" s="894"/>
    </row>
    <row r="541" spans="4:43" ht="33.75" customHeight="1" outlineLevel="1">
      <c r="D541" s="1">
        <v>45</v>
      </c>
      <c r="AB541" s="896"/>
      <c r="AC541" s="896"/>
      <c r="AD541" s="896"/>
      <c r="AE541" s="896"/>
      <c r="AF541" s="896"/>
      <c r="AG541" s="896"/>
      <c r="AH541" s="896"/>
      <c r="AI541" s="896"/>
      <c r="AJ541" s="896"/>
      <c r="AK541" s="896"/>
      <c r="AL541" s="896"/>
      <c r="AM541" s="896"/>
      <c r="AN541" s="896"/>
      <c r="AO541" s="896"/>
      <c r="AP541" s="896"/>
      <c r="AQ541" s="896"/>
    </row>
    <row r="542" spans="4:43" ht="33.75" customHeight="1" outlineLevel="1">
      <c r="D542" s="1">
        <v>45</v>
      </c>
      <c r="AB542" s="896" t="str">
        <f>"Пообъектный расчет аренды прочего имущества на "&amp;PRD&amp;" год в формате шаблона ENERGY.CALC.NVV.TSO лист Аренда прочее им.  (Приложение №6 и в приложении к заключению)."</f>
        <v>Пообъектный расчет аренды прочего имущества на 2026 год в формате шаблона ENERGY.CALC.NVV.TSO лист Аренда прочее им.  (Приложение №6 и в приложении к заключению).</v>
      </c>
      <c r="AC542" s="896"/>
      <c r="AD542" s="896"/>
      <c r="AE542" s="896"/>
      <c r="AF542" s="896"/>
      <c r="AG542" s="896"/>
      <c r="AH542" s="896"/>
      <c r="AI542" s="896"/>
      <c r="AJ542" s="896"/>
      <c r="AK542" s="896"/>
      <c r="AL542" s="896"/>
      <c r="AM542" s="896"/>
      <c r="AN542" s="896"/>
      <c r="AO542" s="896"/>
      <c r="AP542" s="896"/>
      <c r="AQ542" s="896"/>
    </row>
    <row r="543" spans="4:43" ht="33.75" customHeight="1" outlineLevel="1">
      <c r="D543" s="1">
        <v>45</v>
      </c>
      <c r="AB543" s="894"/>
      <c r="AC543" s="894"/>
      <c r="AD543" s="894"/>
      <c r="AE543" s="894"/>
      <c r="AF543" s="894"/>
      <c r="AG543" s="894"/>
      <c r="AH543" s="894"/>
      <c r="AI543" s="894"/>
      <c r="AJ543" s="894"/>
      <c r="AK543" s="894"/>
      <c r="AL543" s="894"/>
      <c r="AM543" s="894"/>
      <c r="AN543" s="894"/>
      <c r="AO543" s="894"/>
      <c r="AP543" s="894"/>
      <c r="AQ543" s="894"/>
    </row>
    <row r="544" spans="4:43" ht="33.75" customHeight="1" outlineLevel="1">
      <c r="D544" s="1">
        <v>45</v>
      </c>
      <c r="AB544" s="896"/>
      <c r="AC544" s="896"/>
      <c r="AD544" s="896"/>
      <c r="AE544" s="896"/>
      <c r="AF544" s="896"/>
      <c r="AG544" s="896"/>
      <c r="AH544" s="896"/>
      <c r="AI544" s="896"/>
      <c r="AJ544" s="896"/>
      <c r="AK544" s="896"/>
      <c r="AL544" s="896"/>
      <c r="AM544" s="896"/>
      <c r="AN544" s="896"/>
      <c r="AO544" s="896"/>
      <c r="AP544" s="896"/>
      <c r="AQ544" s="896"/>
    </row>
    <row r="545" spans="4:43" ht="33.75" customHeight="1" outlineLevel="1">
      <c r="D545" s="1">
        <v>45</v>
      </c>
      <c r="AB545" s="896" t="e">
        <f>"Таким образом, эксперты предлагают считать экономически обоснованными затраты на аренду на "&amp;PRD&amp;" год в размере "&amp;ROUND(#REF!,2)&amp;" тыс. руб., в том числе по объектам электросетевого хозяйства в размере "&amp;ROUND(#REF!,2)&amp;" тыс. руб."</f>
        <v>#REF!</v>
      </c>
      <c r="AC545" s="896"/>
      <c r="AD545" s="896"/>
      <c r="AE545" s="896"/>
      <c r="AF545" s="896"/>
      <c r="AG545" s="896"/>
      <c r="AH545" s="896"/>
      <c r="AI545" s="896"/>
      <c r="AJ545" s="896"/>
      <c r="AK545" s="896"/>
      <c r="AL545" s="896"/>
      <c r="AM545" s="896"/>
      <c r="AN545" s="896"/>
      <c r="AO545" s="896"/>
      <c r="AP545" s="896"/>
      <c r="AQ545" s="896"/>
    </row>
    <row r="546" spans="4:43" ht="33.75" customHeight="1" outlineLevel="1">
      <c r="D546" s="1">
        <v>45</v>
      </c>
      <c r="AB546" s="896" t="str">
        <f>"Оценку экономически обоснованных расходов за "&amp;PRD-2&amp;" год эксперты провели аналогичным способом, принимая минимальный размер аренды по договору или по расчёту в соответствии с Основами ценообразования…"</f>
        <v>Оценку экономически обоснованных расходов за 2024 год эксперты провели аналогичным способом, принимая минимальный размер аренды по договору или по расчёту в соответствии с Основами ценообразования…</v>
      </c>
      <c r="AC546" s="896"/>
      <c r="AD546" s="896"/>
      <c r="AE546" s="896"/>
      <c r="AF546" s="896"/>
      <c r="AG546" s="896"/>
      <c r="AH546" s="896"/>
      <c r="AI546" s="896"/>
      <c r="AJ546" s="896"/>
      <c r="AK546" s="896"/>
      <c r="AL546" s="896"/>
      <c r="AM546" s="896"/>
      <c r="AN546" s="896"/>
      <c r="AO546" s="896"/>
      <c r="AP546" s="896"/>
      <c r="AQ546" s="896"/>
    </row>
    <row r="547" spans="4:43" ht="19.5" customHeight="1" outlineLevel="1">
      <c r="D547" s="1">
        <v>26</v>
      </c>
      <c r="AB547" s="896" t="e">
        <f>"По расчёту экспертов (исходя из амортизации и налогов) расходы на аренду электросетевого хозяйства за "&amp;PRD-2&amp;" год составили "&amp;ROUND(#REF!,2)&amp;" тыс. руб."</f>
        <v>#REF!</v>
      </c>
      <c r="AC547" s="896"/>
      <c r="AD547" s="896"/>
      <c r="AE547" s="896"/>
      <c r="AF547" s="896"/>
      <c r="AG547" s="896"/>
      <c r="AH547" s="896"/>
      <c r="AI547" s="896"/>
      <c r="AJ547" s="896"/>
      <c r="AK547" s="896"/>
      <c r="AL547" s="896"/>
      <c r="AM547" s="896"/>
      <c r="AN547" s="896"/>
      <c r="AO547" s="896"/>
      <c r="AP547" s="896"/>
      <c r="AQ547" s="896"/>
    </row>
    <row r="548" spans="4:43" ht="21.75" customHeight="1" outlineLevel="1">
      <c r="D548" s="1">
        <v>29</v>
      </c>
      <c r="AB548" s="1006" t="s">
        <v>1513</v>
      </c>
      <c r="AC548" s="781"/>
      <c r="AD548" s="781"/>
      <c r="AE548" s="324"/>
      <c r="AG548" s="896" t="e">
        <f>IF(#REF!=AE548,"сумма арендной платы и сумма заключенных договоров равны",IF(#REF!&lt;AE548,"что ниже суммы арендной платы на "&amp;#REF!-AE548&amp;"тыс.руб","что выше суммы арендной платы на "&amp;#REF!-AE548&amp;"тыс.руб"))</f>
        <v>#REF!</v>
      </c>
      <c r="AH548" s="896"/>
      <c r="AI548" s="896"/>
      <c r="AJ548" s="896"/>
      <c r="AK548" s="896"/>
      <c r="AL548" s="896"/>
      <c r="AM548" s="896"/>
      <c r="AN548" s="896"/>
      <c r="AO548" s="896"/>
      <c r="AP548" s="896"/>
      <c r="AQ548" s="896"/>
    </row>
    <row r="549" spans="4:43" ht="33.75" customHeight="1" outlineLevel="1">
      <c r="D549" s="1">
        <v>45</v>
      </c>
      <c r="AB549" s="896" t="e">
        <f>"Расходы на аренду прочего имущества за "&amp;PRD-2&amp;" год составили "&amp;ROUND(#REF!-#REF!,2)&amp;" тыс. руб"</f>
        <v>#REF!</v>
      </c>
      <c r="AC549" s="896"/>
      <c r="AD549" s="896"/>
      <c r="AE549" s="896"/>
      <c r="AF549" s="896"/>
      <c r="AG549" s="896"/>
      <c r="AH549" s="896"/>
      <c r="AI549" s="896"/>
      <c r="AJ549" s="896"/>
      <c r="AK549" s="896"/>
      <c r="AL549" s="896"/>
      <c r="AM549" s="896"/>
      <c r="AN549" s="896"/>
      <c r="AO549" s="896"/>
      <c r="AP549" s="896"/>
      <c r="AQ549" s="896"/>
    </row>
    <row r="550" spans="4:43" ht="21.75" customHeight="1" outlineLevel="1">
      <c r="D550" s="1">
        <v>29</v>
      </c>
      <c r="AB550" s="1006" t="s">
        <v>1513</v>
      </c>
      <c r="AC550" s="781"/>
      <c r="AD550" s="781"/>
      <c r="AE550" s="324"/>
      <c r="AG550" s="896" t="e">
        <f>IF(#REF!-#REF!=AE550,"сумма арендной платы и сумма заключенных договоров равны",IF(#REF!-#REF!&lt;AE550,"что ниже суммы арендной платы на "&amp;#REF!-#REF!-AE550&amp;"тыс.руб","что выше суммы арендной платы на "&amp;#REF!-#REF!-AE550&amp;"тыс.руб"))</f>
        <v>#REF!</v>
      </c>
      <c r="AH550" s="896"/>
      <c r="AI550" s="896"/>
      <c r="AJ550" s="896"/>
      <c r="AK550" s="896"/>
      <c r="AL550" s="896"/>
      <c r="AM550" s="896"/>
      <c r="AN550" s="896"/>
      <c r="AO550" s="896"/>
      <c r="AP550" s="896"/>
      <c r="AQ550" s="896"/>
    </row>
    <row r="551" spans="4:43" ht="42" customHeight="1" outlineLevel="1">
      <c r="D551" s="1">
        <v>56</v>
      </c>
      <c r="AB551" s="896"/>
      <c r="AC551" s="896"/>
      <c r="AD551" s="896"/>
      <c r="AE551" s="896"/>
      <c r="AF551" s="896"/>
      <c r="AG551" s="896"/>
      <c r="AH551" s="896"/>
      <c r="AI551" s="896"/>
      <c r="AJ551" s="896"/>
      <c r="AK551" s="896"/>
      <c r="AL551" s="896"/>
      <c r="AM551" s="896"/>
      <c r="AN551" s="896"/>
      <c r="AO551" s="896"/>
      <c r="AP551" s="896"/>
      <c r="AQ551" s="896"/>
    </row>
    <row r="552" spans="4:43" ht="33.75" customHeight="1" outlineLevel="1">
      <c r="D552" s="1">
        <v>45</v>
      </c>
      <c r="AB552" s="896" t="e">
        <f>"Учитывая изложенное, экспертами признают экономически обоснованными расходы на аренду за "&amp;PRD-2&amp;" год в размере "&amp;#REF!&amp;" тыс. руб. в том числе аренда электросетевого хозяйства на сумму "&amp;#REF!&amp;" тыс. руб."</f>
        <v>#REF!</v>
      </c>
      <c r="AC552" s="896"/>
      <c r="AD552" s="896"/>
      <c r="AE552" s="896"/>
      <c r="AF552" s="896"/>
      <c r="AG552" s="896"/>
      <c r="AH552" s="896"/>
      <c r="AI552" s="896"/>
      <c r="AJ552" s="896"/>
      <c r="AK552" s="896"/>
      <c r="AL552" s="896"/>
      <c r="AM552" s="896"/>
      <c r="AN552" s="896"/>
      <c r="AO552" s="896"/>
      <c r="AP552" s="896"/>
      <c r="AQ552" s="896"/>
    </row>
    <row r="553" spans="4:43" ht="33.75" customHeight="1">
      <c r="D553" s="1">
        <v>45</v>
      </c>
      <c r="AB553" s="890"/>
      <c r="AC553" s="890"/>
      <c r="AD553" s="890"/>
      <c r="AE553" s="890"/>
      <c r="AF553" s="890"/>
      <c r="AG553" s="890"/>
      <c r="AH553" s="890"/>
      <c r="AI553" s="890"/>
      <c r="AJ553" s="890"/>
      <c r="AK553" s="890"/>
      <c r="AL553" s="890"/>
      <c r="AM553" s="890"/>
      <c r="AN553" s="890"/>
      <c r="AO553" s="890"/>
      <c r="AP553" s="890"/>
      <c r="AQ553" s="890"/>
    </row>
    <row r="554" spans="4:43" ht="19.5" customHeight="1" outlineLevel="1">
      <c r="D554" s="1">
        <v>26</v>
      </c>
      <c r="AA554" s="781"/>
      <c r="AB554" s="898" t="s">
        <v>1514</v>
      </c>
      <c r="AC554" s="781"/>
      <c r="AD554" s="781"/>
      <c r="AE554" s="781"/>
      <c r="AF554" s="781"/>
      <c r="AG554" s="781"/>
      <c r="AH554" s="781"/>
      <c r="AI554" s="781"/>
      <c r="AJ554" s="781"/>
      <c r="AK554" s="781"/>
      <c r="AL554" s="781"/>
      <c r="AM554" s="781"/>
      <c r="AN554" s="781"/>
      <c r="AO554" s="781"/>
      <c r="AP554" s="781"/>
      <c r="AQ554" s="781"/>
    </row>
    <row r="555" spans="4:43" ht="39" customHeight="1" outlineLevel="1">
      <c r="D555" s="1">
        <v>52</v>
      </c>
      <c r="AA555" s="781"/>
      <c r="AB555" s="896" t="e">
        <f>"Фактические расходы в "&amp;PRD-2&amp;" году составили "&amp;ROUND(#REF!,2)&amp;" тыс. руб., в том числе аренда электросетевого хозяйства – "&amp;ROUND(#REF!,2)&amp;" тыс. руб. Утверждённые расходы на "&amp;PRD-1&amp;" год составили "&amp;ROUND(#REF!,2)&amp;" тыс. руб., в том числе аренда электросетевого хозяйства – "&amp;ROUND(#REF!,2)&amp;" тыс. руб. Предприятием планируется на "&amp;PRD&amp;" год по данной статье затрат на аренду в сумме "&amp;ROUND(#REF!,2)&amp;" тыс. руб., в том числе аренда электросетевого хозяйства на сумму "&amp;ROUND(#REF!,2)&amp;" тыс. руб."</f>
        <v>#REF!</v>
      </c>
      <c r="AC555" s="896"/>
      <c r="AD555" s="896"/>
      <c r="AE555" s="896"/>
      <c r="AF555" s="896"/>
      <c r="AG555" s="896"/>
      <c r="AH555" s="896"/>
      <c r="AI555" s="896"/>
      <c r="AJ555" s="896"/>
      <c r="AK555" s="896"/>
      <c r="AL555" s="896"/>
      <c r="AM555" s="896"/>
      <c r="AN555" s="896"/>
      <c r="AO555" s="896"/>
      <c r="AP555" s="896"/>
      <c r="AQ555" s="896"/>
    </row>
    <row r="556" spans="4:43" ht="39" customHeight="1" outlineLevel="1">
      <c r="D556" s="1">
        <v>52</v>
      </c>
      <c r="AB556" s="896"/>
      <c r="AC556" s="896"/>
      <c r="AD556" s="896"/>
      <c r="AE556" s="896"/>
      <c r="AF556" s="896"/>
      <c r="AG556" s="896"/>
      <c r="AH556" s="896"/>
      <c r="AI556" s="896"/>
      <c r="AJ556" s="896"/>
      <c r="AK556" s="896"/>
      <c r="AL556" s="896"/>
      <c r="AM556" s="896"/>
      <c r="AN556" s="896"/>
      <c r="AO556" s="896"/>
      <c r="AP556" s="896"/>
      <c r="AQ556" s="896"/>
    </row>
    <row r="557" spans="4:43" ht="39" customHeight="1" outlineLevel="1">
      <c r="D557" s="1">
        <v>52</v>
      </c>
      <c r="AB557" s="896"/>
      <c r="AC557" s="896"/>
      <c r="AD557" s="896"/>
      <c r="AE557" s="896"/>
      <c r="AF557" s="896"/>
      <c r="AG557" s="896"/>
      <c r="AH557" s="896"/>
      <c r="AI557" s="896"/>
      <c r="AJ557" s="896"/>
      <c r="AK557" s="896"/>
      <c r="AL557" s="896"/>
      <c r="AM557" s="896"/>
      <c r="AN557" s="896"/>
      <c r="AO557" s="896"/>
      <c r="AP557" s="896"/>
      <c r="AQ557" s="896"/>
    </row>
    <row r="558" spans="4:43" ht="33.75" customHeight="1" outlineLevel="1">
      <c r="D558" s="1">
        <v>45</v>
      </c>
      <c r="AB558" s="896" t="s">
        <v>1515</v>
      </c>
      <c r="AC558" s="896"/>
      <c r="AD558" s="896"/>
      <c r="AE558" s="896"/>
      <c r="AF558" s="896"/>
      <c r="AG558" s="896"/>
      <c r="AH558" s="896"/>
      <c r="AI558" s="896"/>
      <c r="AJ558" s="896"/>
      <c r="AK558" s="896"/>
      <c r="AL558" s="896"/>
      <c r="AM558" s="896"/>
      <c r="AN558" s="896"/>
      <c r="AO558" s="896"/>
      <c r="AP558" s="896"/>
      <c r="AQ558" s="896"/>
    </row>
    <row r="559" spans="4:43" ht="33.75" customHeight="1" outlineLevel="1">
      <c r="D559" s="1">
        <v>45</v>
      </c>
      <c r="AB559" s="894" t="str">
        <f>"Пообъектный расчет лизинга электросетевого хозяйства на "&amp;PRD&amp;" год в формате шаблона ENERGY.CALC.NVV.TSO лист Лизинг ЭСХ  (Приложение №6 и в приложении к заключению)."</f>
        <v>Пообъектный расчет лизинга электросетевого хозяйства на 2026 год в формате шаблона ENERGY.CALC.NVV.TSO лист Лизинг ЭСХ  (Приложение №6 и в приложении к заключению).</v>
      </c>
      <c r="AC559" s="894"/>
      <c r="AD559" s="894"/>
      <c r="AE559" s="894"/>
      <c r="AF559" s="894"/>
      <c r="AG559" s="894"/>
      <c r="AH559" s="894"/>
      <c r="AI559" s="894"/>
      <c r="AJ559" s="894"/>
      <c r="AK559" s="894"/>
      <c r="AL559" s="894"/>
      <c r="AM559" s="894"/>
      <c r="AN559" s="894"/>
      <c r="AO559" s="894"/>
      <c r="AP559" s="894"/>
      <c r="AQ559" s="894"/>
    </row>
    <row r="560" spans="4:43" ht="33.75" customHeight="1" outlineLevel="1">
      <c r="D560" s="1">
        <v>45</v>
      </c>
      <c r="AB560" s="896"/>
      <c r="AC560" s="896"/>
      <c r="AD560" s="896"/>
      <c r="AE560" s="896"/>
      <c r="AF560" s="896"/>
      <c r="AG560" s="896"/>
      <c r="AH560" s="896"/>
      <c r="AI560" s="896"/>
      <c r="AJ560" s="896"/>
      <c r="AK560" s="896"/>
      <c r="AL560" s="896"/>
      <c r="AM560" s="896"/>
      <c r="AN560" s="896"/>
      <c r="AO560" s="896"/>
      <c r="AP560" s="896"/>
      <c r="AQ560" s="896"/>
    </row>
    <row r="561" spans="4:43" ht="33.75" customHeight="1" outlineLevel="1">
      <c r="D561" s="1">
        <v>45</v>
      </c>
      <c r="AB561" s="896"/>
      <c r="AC561" s="896"/>
      <c r="AD561" s="896"/>
      <c r="AE561" s="896"/>
      <c r="AF561" s="896"/>
      <c r="AG561" s="896"/>
      <c r="AH561" s="896"/>
      <c r="AI561" s="896"/>
      <c r="AJ561" s="896"/>
      <c r="AK561" s="896"/>
      <c r="AL561" s="896"/>
      <c r="AM561" s="896"/>
      <c r="AN561" s="896"/>
      <c r="AO561" s="896"/>
      <c r="AP561" s="896"/>
      <c r="AQ561" s="896"/>
    </row>
    <row r="562" spans="4:43" ht="33.75" customHeight="1" outlineLevel="1">
      <c r="D562" s="1">
        <v>45</v>
      </c>
      <c r="AB562" s="894"/>
      <c r="AC562" s="894"/>
      <c r="AD562" s="894"/>
      <c r="AE562" s="894"/>
      <c r="AF562" s="894"/>
      <c r="AG562" s="894"/>
      <c r="AH562" s="894"/>
      <c r="AI562" s="894"/>
      <c r="AJ562" s="894"/>
      <c r="AK562" s="894"/>
      <c r="AL562" s="894"/>
      <c r="AM562" s="894"/>
      <c r="AN562" s="894"/>
      <c r="AO562" s="894"/>
      <c r="AP562" s="894"/>
      <c r="AQ562" s="894"/>
    </row>
    <row r="563" spans="4:43" ht="33.75" customHeight="1" outlineLevel="1">
      <c r="D563" s="1">
        <v>45</v>
      </c>
      <c r="AB563" s="896"/>
      <c r="AC563" s="896"/>
      <c r="AD563" s="896"/>
      <c r="AE563" s="896"/>
      <c r="AF563" s="896"/>
      <c r="AG563" s="896"/>
      <c r="AH563" s="896"/>
      <c r="AI563" s="896"/>
      <c r="AJ563" s="896"/>
      <c r="AK563" s="896"/>
      <c r="AL563" s="896"/>
      <c r="AM563" s="896"/>
      <c r="AN563" s="896"/>
      <c r="AO563" s="896"/>
      <c r="AP563" s="896"/>
      <c r="AQ563" s="896"/>
    </row>
    <row r="564" spans="4:43" ht="33.75" customHeight="1" outlineLevel="1">
      <c r="D564" s="1">
        <v>45</v>
      </c>
      <c r="AB564" s="896"/>
      <c r="AC564" s="896"/>
      <c r="AD564" s="896"/>
      <c r="AE564" s="896"/>
      <c r="AF564" s="896"/>
      <c r="AG564" s="896"/>
      <c r="AH564" s="896"/>
      <c r="AI564" s="896"/>
      <c r="AJ564" s="896"/>
      <c r="AK564" s="896"/>
      <c r="AL564" s="896"/>
      <c r="AM564" s="896"/>
      <c r="AN564" s="896"/>
      <c r="AO564" s="896"/>
      <c r="AP564" s="896"/>
      <c r="AQ564" s="896"/>
    </row>
    <row r="565" spans="4:43" ht="33.75" customHeight="1" outlineLevel="1">
      <c r="D565" s="1">
        <v>45</v>
      </c>
      <c r="AB565" s="896" t="e">
        <f>"Таким образом, эксперты предлагают считать экономически обоснованными затраты на лизинг на "&amp;PRD&amp;" год в размере "&amp;ROUND(#REF!,2)&amp;" тыс. руб., в том числе по объектам электросетевого хозяйства в размере "&amp;ROUND(#REF!,2)&amp;" тыс. руб."</f>
        <v>#REF!</v>
      </c>
      <c r="AC565" s="896"/>
      <c r="AD565" s="896"/>
      <c r="AE565" s="896"/>
      <c r="AF565" s="896"/>
      <c r="AG565" s="896"/>
      <c r="AH565" s="896"/>
      <c r="AI565" s="896"/>
      <c r="AJ565" s="896"/>
      <c r="AK565" s="896"/>
      <c r="AL565" s="896"/>
      <c r="AM565" s="896"/>
      <c r="AN565" s="896"/>
      <c r="AO565" s="896"/>
      <c r="AP565" s="896"/>
      <c r="AQ565" s="896"/>
    </row>
    <row r="566" spans="4:43" ht="19.5" customHeight="1" outlineLevel="1">
      <c r="D566" s="1">
        <v>26</v>
      </c>
      <c r="AB566" s="896"/>
      <c r="AC566" s="896"/>
      <c r="AD566" s="896"/>
      <c r="AE566" s="896"/>
      <c r="AF566" s="896"/>
      <c r="AG566" s="896"/>
      <c r="AH566" s="896"/>
      <c r="AI566" s="896"/>
      <c r="AJ566" s="896"/>
      <c r="AK566" s="896"/>
      <c r="AL566" s="896"/>
      <c r="AM566" s="896"/>
      <c r="AN566" s="896"/>
      <c r="AO566" s="896"/>
      <c r="AP566" s="896"/>
      <c r="AQ566" s="896"/>
    </row>
    <row r="567" spans="4:43" ht="28.5" hidden="1" customHeight="1">
      <c r="D567" s="1">
        <v>0</v>
      </c>
      <c r="AB567" s="890"/>
      <c r="AC567" s="890"/>
      <c r="AD567" s="890"/>
      <c r="AE567" s="890"/>
      <c r="AF567" s="890"/>
      <c r="AG567" s="890"/>
      <c r="AH567" s="890"/>
      <c r="AI567" s="890"/>
      <c r="AJ567" s="890"/>
      <c r="AK567" s="890"/>
      <c r="AL567" s="890"/>
      <c r="AM567" s="890"/>
      <c r="AN567" s="890"/>
      <c r="AO567" s="890"/>
      <c r="AP567" s="890"/>
      <c r="AQ567" s="890"/>
    </row>
    <row r="568" spans="4:43" ht="19.5" customHeight="1" outlineLevel="1">
      <c r="D568" s="1">
        <v>26</v>
      </c>
      <c r="AB568" s="898" t="s">
        <v>1516</v>
      </c>
      <c r="AC568" s="781"/>
      <c r="AD568" s="781"/>
      <c r="AE568" s="781"/>
      <c r="AF568" s="781"/>
      <c r="AG568" s="781"/>
      <c r="AH568" s="781"/>
      <c r="AI568" s="781"/>
      <c r="AJ568" s="781"/>
      <c r="AK568" s="781"/>
      <c r="AL568" s="781"/>
      <c r="AM568" s="781"/>
      <c r="AN568" s="781"/>
      <c r="AO568" s="781"/>
      <c r="AP568" s="781"/>
      <c r="AQ568" s="781"/>
    </row>
    <row r="569" spans="4:43" ht="33.75" customHeight="1" outlineLevel="1">
      <c r="D569" s="1">
        <v>45</v>
      </c>
      <c r="AB569" s="896" t="e">
        <f>"Утверждённые расходы на "&amp;PRD-1&amp;" год составили "&amp;ROUND(#REF!,2)&amp;" тыс. руб. Организацией на "&amp;PRD&amp;" год по данной статье заявлены расходы в размере "&amp;ROUND(#REF!,2)&amp;" тыс. руб."</f>
        <v>#REF!</v>
      </c>
      <c r="AC569" s="896"/>
      <c r="AD569" s="896"/>
      <c r="AE569" s="896"/>
      <c r="AF569" s="896"/>
      <c r="AG569" s="896"/>
      <c r="AH569" s="896"/>
      <c r="AI569" s="896"/>
      <c r="AJ569" s="896"/>
      <c r="AK569" s="896"/>
      <c r="AL569" s="896"/>
      <c r="AM569" s="896"/>
      <c r="AN569" s="896"/>
      <c r="AO569" s="896"/>
      <c r="AP569" s="896"/>
      <c r="AQ569" s="896"/>
    </row>
    <row r="570" spans="4:43" ht="19.5" customHeight="1" outlineLevel="1">
      <c r="D570" s="1">
        <v>26</v>
      </c>
      <c r="AB570" s="896" t="str">
        <f>"Для обоснования расходов "&amp;AG27&amp;" представлена копия налоговой декларации по налогу"</f>
        <v>Для обоснования расходов МУП "Горэлектросети" представлена копия налоговой декларации по налогу</v>
      </c>
      <c r="AC570" s="896"/>
      <c r="AD570" s="896"/>
      <c r="AE570" s="896"/>
      <c r="AF570" s="896"/>
      <c r="AG570" s="896"/>
      <c r="AH570" s="896"/>
      <c r="AI570" s="896"/>
      <c r="AJ570" s="896"/>
      <c r="AK570" s="896"/>
      <c r="AL570" s="896"/>
      <c r="AM570" s="896"/>
      <c r="AN570" s="896"/>
      <c r="AO570" s="896"/>
      <c r="AP570" s="896"/>
      <c r="AQ570" s="896"/>
    </row>
    <row r="571" spans="4:43" ht="33.75" customHeight="1" outlineLevel="1">
      <c r="D571" s="1">
        <v>45</v>
      </c>
      <c r="AB571" s="894"/>
      <c r="AC571" s="894"/>
      <c r="AD571" s="894"/>
      <c r="AE571" s="894"/>
      <c r="AF571" s="894"/>
      <c r="AG571" s="894"/>
      <c r="AH571" s="894"/>
      <c r="AI571" s="894"/>
      <c r="AJ571" s="894"/>
      <c r="AK571" s="894"/>
      <c r="AL571" s="894"/>
      <c r="AM571" s="894"/>
      <c r="AN571" s="894"/>
      <c r="AO571" s="894"/>
      <c r="AP571" s="894"/>
      <c r="AQ571" s="894"/>
    </row>
    <row r="572" spans="4:43" ht="21.75" customHeight="1" outlineLevel="1">
      <c r="D572" s="1">
        <v>29</v>
      </c>
      <c r="AB572" s="896" t="s">
        <v>1517</v>
      </c>
      <c r="AC572" s="896"/>
      <c r="AD572" s="896"/>
      <c r="AE572" s="896"/>
      <c r="AF572" s="896"/>
      <c r="AG572" s="896"/>
      <c r="AI572" s="327"/>
    </row>
    <row r="573" spans="4:43" ht="33.75" customHeight="1" outlineLevel="1">
      <c r="D573" s="1">
        <v>45</v>
      </c>
      <c r="AB573" s="896" t="e">
        <f>"Эксперты, проанализировав представленные организацией обоснования статьи, приняли решение учесть расходы в размере "&amp;ROUND(#REF!,2)&amp;" тыс. руб."</f>
        <v>#REF!</v>
      </c>
      <c r="AC573" s="896"/>
      <c r="AD573" s="896"/>
      <c r="AE573" s="896"/>
      <c r="AF573" s="896"/>
      <c r="AG573" s="896"/>
      <c r="AH573" s="896"/>
      <c r="AI573" s="896"/>
      <c r="AJ573" s="896"/>
      <c r="AK573" s="896"/>
      <c r="AL573" s="896"/>
      <c r="AM573" s="896"/>
      <c r="AN573" s="896"/>
      <c r="AO573" s="896"/>
      <c r="AP573" s="896"/>
      <c r="AQ573" s="896"/>
    </row>
    <row r="574" spans="4:43" ht="33.75" customHeight="1" outlineLevel="1">
      <c r="D574" s="1">
        <v>45</v>
      </c>
      <c r="AB574" s="894"/>
      <c r="AC574" s="894"/>
      <c r="AD574" s="894"/>
      <c r="AE574" s="894"/>
      <c r="AF574" s="894"/>
      <c r="AG574" s="894"/>
      <c r="AH574" s="894"/>
      <c r="AI574" s="894"/>
      <c r="AJ574" s="894"/>
      <c r="AK574" s="894"/>
      <c r="AL574" s="894"/>
      <c r="AM574" s="894"/>
      <c r="AN574" s="894"/>
      <c r="AO574" s="894"/>
      <c r="AP574" s="894"/>
      <c r="AQ574" s="894"/>
    </row>
    <row r="575" spans="4:43" ht="33.75" customHeight="1" outlineLevel="1">
      <c r="D575" s="1">
        <v>45</v>
      </c>
      <c r="AB575" s="894"/>
      <c r="AC575" s="894"/>
      <c r="AD575" s="894"/>
      <c r="AE575" s="894"/>
      <c r="AF575" s="894"/>
      <c r="AG575" s="894"/>
      <c r="AH575" s="894"/>
      <c r="AI575" s="894"/>
      <c r="AJ575" s="894"/>
      <c r="AK575" s="894"/>
      <c r="AL575" s="894"/>
      <c r="AM575" s="894"/>
      <c r="AN575" s="894"/>
      <c r="AO575" s="894"/>
      <c r="AP575" s="894"/>
      <c r="AQ575" s="894"/>
    </row>
    <row r="576" spans="4:43" ht="33.75" customHeight="1" outlineLevel="1">
      <c r="D576" s="1">
        <v>45</v>
      </c>
      <c r="AB576" s="896" t="e">
        <f>" Расходы на уплату налогов организацией на "&amp;PRD-2&amp;" год планирвоались "&amp;ROUND(#REF!,2)&amp;", фактические расходы составили "&amp;ROUND(#REF!,2)&amp;"  тыс.руб. и признаются экспертами экономически обоснованными на "&amp;PRD&amp;" год в размере "&amp;ROUND(#REF!,2)&amp;" тыс. руб."</f>
        <v>#REF!</v>
      </c>
      <c r="AC576" s="896"/>
      <c r="AD576" s="896"/>
      <c r="AE576" s="896"/>
      <c r="AF576" s="896"/>
      <c r="AG576" s="896"/>
      <c r="AH576" s="896"/>
      <c r="AI576" s="896"/>
      <c r="AJ576" s="896"/>
      <c r="AK576" s="896"/>
      <c r="AL576" s="896"/>
      <c r="AM576" s="896"/>
      <c r="AN576" s="896"/>
      <c r="AO576" s="896"/>
      <c r="AP576" s="896"/>
      <c r="AQ576" s="896"/>
    </row>
    <row r="577" spans="4:45" ht="33.75" customHeight="1">
      <c r="D577" s="1">
        <v>45</v>
      </c>
      <c r="AB577" s="781"/>
      <c r="AC577" s="781"/>
      <c r="AD577" s="781"/>
      <c r="AE577" s="781"/>
      <c r="AF577" s="781"/>
      <c r="AG577" s="781"/>
      <c r="AH577" s="781"/>
      <c r="AI577" s="781"/>
      <c r="AJ577" s="781"/>
      <c r="AK577" s="781"/>
      <c r="AL577" s="781"/>
      <c r="AM577" s="781"/>
      <c r="AN577" s="781"/>
      <c r="AO577" s="781"/>
      <c r="AP577" s="781"/>
      <c r="AQ577" s="781"/>
    </row>
    <row r="578" spans="4:45" ht="19.5" customHeight="1" outlineLevel="1">
      <c r="D578" s="1">
        <v>26</v>
      </c>
      <c r="AA578" s="781"/>
      <c r="AB578" s="898" t="s">
        <v>1518</v>
      </c>
      <c r="AC578" s="781"/>
      <c r="AD578" s="781"/>
      <c r="AE578" s="781"/>
      <c r="AF578" s="781"/>
      <c r="AG578" s="781"/>
      <c r="AH578" s="781"/>
      <c r="AI578" s="781"/>
      <c r="AJ578" s="781"/>
      <c r="AK578" s="781"/>
      <c r="AL578" s="781"/>
      <c r="AM578" s="781"/>
      <c r="AN578" s="781"/>
      <c r="AO578" s="781"/>
      <c r="AP578" s="781"/>
      <c r="AQ578" s="781"/>
    </row>
    <row r="579" spans="4:45" ht="33.75" customHeight="1" outlineLevel="1">
      <c r="D579" s="1">
        <v>45</v>
      </c>
      <c r="AA579" s="781"/>
      <c r="AB579" s="896" t="e">
        <f>"Утверждённые расходы на "&amp;PRD-1&amp;" год составили "&amp;ROUND(#REF!,2)&amp;" тыс. руб. Планируемый организацией размер страховых взносов, включаемых в необходимую валовую выручку на "&amp;PRD&amp;" год, составляет "&amp;ROUND(#REF!,2)&amp;" тыс. руб. "</f>
        <v>#REF!</v>
      </c>
      <c r="AC579" s="896"/>
      <c r="AD579" s="896"/>
      <c r="AE579" s="896"/>
      <c r="AF579" s="896"/>
      <c r="AG579" s="896"/>
      <c r="AH579" s="896"/>
      <c r="AI579" s="896"/>
      <c r="AJ579" s="896"/>
      <c r="AK579" s="896"/>
      <c r="AL579" s="896"/>
      <c r="AM579" s="896"/>
      <c r="AN579" s="896"/>
      <c r="AO579" s="896"/>
      <c r="AP579" s="896"/>
      <c r="AQ579" s="896"/>
    </row>
    <row r="580" spans="4:45" ht="19.5" customHeight="1" outlineLevel="1">
      <c r="D580" s="1">
        <v>26</v>
      </c>
      <c r="AB580" s="896" t="e">
        <f>"Фактические расходы по статье «Отчисления на социальные нужды» за "&amp;PRD-2&amp;" год, в размере "&amp;ROUND(#REF!,2)&amp;" тыс. руб., подтверждены оборотно-сальдовыми ведомостями по сч. 20, сч.69"</f>
        <v>#REF!</v>
      </c>
      <c r="AC580" s="896"/>
      <c r="AD580" s="896"/>
      <c r="AE580" s="896"/>
      <c r="AF580" s="896"/>
      <c r="AG580" s="896"/>
      <c r="AH580" s="896"/>
      <c r="AI580" s="896"/>
      <c r="AJ580" s="896"/>
      <c r="AK580" s="896"/>
      <c r="AL580" s="896"/>
      <c r="AM580" s="896"/>
      <c r="AN580" s="896"/>
      <c r="AO580" s="896"/>
      <c r="AP580" s="896"/>
      <c r="AQ580" s="896"/>
    </row>
    <row r="581" spans="4:45" ht="33.75" customHeight="1" outlineLevel="1">
      <c r="D581" s="1">
        <v>45</v>
      </c>
      <c r="AB581" s="894"/>
      <c r="AC581" s="894"/>
      <c r="AD581" s="894"/>
      <c r="AE581" s="894"/>
      <c r="AF581" s="894"/>
      <c r="AG581" s="894"/>
      <c r="AH581" s="894"/>
      <c r="AI581" s="894"/>
      <c r="AJ581" s="894"/>
      <c r="AK581" s="894"/>
      <c r="AL581" s="894"/>
      <c r="AM581" s="894"/>
      <c r="AN581" s="894"/>
      <c r="AO581" s="894"/>
      <c r="AP581" s="894"/>
      <c r="AQ581" s="894"/>
    </row>
    <row r="582" spans="4:45" ht="33.75" customHeight="1" outlineLevel="1">
      <c r="D582" s="1">
        <v>45</v>
      </c>
      <c r="AB582" s="894"/>
      <c r="AC582" s="894"/>
      <c r="AD582" s="894"/>
      <c r="AE582" s="894"/>
      <c r="AF582" s="894"/>
      <c r="AG582" s="894"/>
      <c r="AH582" s="894"/>
      <c r="AI582" s="894"/>
      <c r="AJ582" s="894"/>
      <c r="AK582" s="894"/>
      <c r="AL582" s="894"/>
      <c r="AM582" s="894"/>
      <c r="AN582" s="894"/>
      <c r="AO582" s="894"/>
      <c r="AP582" s="894"/>
      <c r="AQ582" s="894"/>
    </row>
    <row r="583" spans="4:45" ht="33.75" customHeight="1" outlineLevel="1">
      <c r="D583" s="1">
        <v>45</v>
      </c>
      <c r="AB583" s="894"/>
      <c r="AC583" s="894"/>
      <c r="AD583" s="894"/>
      <c r="AE583" s="894"/>
      <c r="AF583" s="894"/>
      <c r="AG583" s="894"/>
      <c r="AH583" s="894"/>
      <c r="AI583" s="894"/>
      <c r="AJ583" s="894"/>
      <c r="AK583" s="894"/>
      <c r="AL583" s="894"/>
      <c r="AM583" s="894"/>
      <c r="AN583" s="894"/>
      <c r="AO583" s="894"/>
      <c r="AP583" s="894"/>
      <c r="AQ583" s="894"/>
    </row>
    <row r="584" spans="4:45" ht="49.5" customHeight="1" outlineLevel="2">
      <c r="D584" s="1">
        <v>66</v>
      </c>
      <c r="AB584" s="896" t="s">
        <v>1519</v>
      </c>
      <c r="AC584" s="896"/>
      <c r="AD584" s="896"/>
      <c r="AE584" s="896"/>
      <c r="AF584" s="896"/>
      <c r="AG584" s="896"/>
      <c r="AH584" s="896"/>
      <c r="AI584" s="896"/>
      <c r="AJ584" s="896"/>
      <c r="AK584" s="896"/>
      <c r="AL584" s="896"/>
      <c r="AM584" s="896"/>
      <c r="AN584" s="896"/>
      <c r="AO584" s="896"/>
      <c r="AP584" s="896"/>
      <c r="AQ584" s="896"/>
    </row>
    <row r="585" spans="4:45" ht="21.75" customHeight="1" outlineLevel="2">
      <c r="D585" s="1">
        <v>29</v>
      </c>
      <c r="AB585" s="896" t="str">
        <f>"Фондом социального страхования РФ для "&amp;AG27&amp;" определен"</f>
        <v>Фондом социального страхования РФ для МУП "Горэлектросети" определен</v>
      </c>
      <c r="AC585" s="896"/>
      <c r="AD585" s="896"/>
      <c r="AE585" s="896"/>
      <c r="AF585" s="896"/>
      <c r="AG585" s="896"/>
      <c r="AH585" s="327"/>
      <c r="AI585" s="892" t="s">
        <v>1520</v>
      </c>
      <c r="AJ585" s="781"/>
      <c r="AK585" s="781"/>
      <c r="AL585" s="781"/>
      <c r="AM585" s="781"/>
      <c r="AN585" s="781"/>
      <c r="AO585" s="781"/>
      <c r="AP585" s="781"/>
      <c r="AQ585" s="781"/>
      <c r="AR585" s="781"/>
      <c r="AS585" s="781"/>
    </row>
    <row r="586" spans="4:45" ht="21.75" customHeight="1" outlineLevel="2">
      <c r="D586" s="1">
        <v>29</v>
      </c>
      <c r="AB586" s="896" t="s">
        <v>1521</v>
      </c>
      <c r="AC586" s="896"/>
      <c r="AD586" s="896"/>
      <c r="AE586" s="896"/>
      <c r="AF586" s="896"/>
      <c r="AG586" s="896"/>
      <c r="AH586" s="327"/>
      <c r="AI586" s="892" t="s">
        <v>1522</v>
      </c>
      <c r="AJ586" s="781"/>
      <c r="AK586" s="781"/>
      <c r="AL586" s="781"/>
      <c r="AM586" s="781"/>
      <c r="AN586" s="781"/>
      <c r="AO586" s="781"/>
      <c r="AP586" s="781"/>
      <c r="AQ586" s="781"/>
      <c r="AR586" s="781"/>
      <c r="AS586" s="781"/>
    </row>
    <row r="587" spans="4:45" ht="33.75" customHeight="1" outlineLevel="2">
      <c r="D587" s="1">
        <v>45</v>
      </c>
      <c r="AB587" s="896" t="s">
        <v>1523</v>
      </c>
      <c r="AC587" s="896"/>
      <c r="AD587" s="896"/>
      <c r="AE587" s="896"/>
      <c r="AF587" s="896"/>
      <c r="AG587" s="896"/>
      <c r="AH587" s="896"/>
      <c r="AI587" s="896"/>
      <c r="AJ587" s="896"/>
      <c r="AK587" s="896"/>
      <c r="AL587" s="896"/>
      <c r="AM587" s="896"/>
      <c r="AN587" s="896"/>
      <c r="AO587" s="896"/>
      <c r="AP587" s="896"/>
      <c r="AQ587" s="896"/>
    </row>
    <row r="588" spans="4:45" ht="33.75" customHeight="1" outlineLevel="2">
      <c r="D588" s="1">
        <v>45</v>
      </c>
      <c r="AB588" s="896" t="str">
        <f>IFERROR("Таким образом, экспертами отчисления на социальные нужды принимаются из расчёта  "&amp;ROUND((#REF!/#REF!)*100,2)&amp;"% к рассчитанному фонду оплаты труда ( "&amp;ROUND(#REF!,2)&amp;" тыс. руб.) и составят на "&amp;PRD&amp;" год "&amp;ROUND(#REF!,2)&amp;" тыс. руб.","")</f>
        <v/>
      </c>
      <c r="AC588" s="896"/>
      <c r="AD588" s="896"/>
      <c r="AE588" s="896"/>
      <c r="AF588" s="896"/>
      <c r="AG588" s="896"/>
      <c r="AH588" s="896"/>
      <c r="AI588" s="896"/>
      <c r="AJ588" s="896"/>
      <c r="AK588" s="896"/>
      <c r="AL588" s="896"/>
      <c r="AM588" s="896"/>
      <c r="AN588" s="896"/>
      <c r="AO588" s="896"/>
      <c r="AP588" s="896"/>
      <c r="AQ588" s="896"/>
    </row>
    <row r="589" spans="4:45" ht="43.5" customHeight="1" outlineLevel="2">
      <c r="D589" s="1">
        <v>58</v>
      </c>
      <c r="AB589" s="896" t="str">
        <f>" Cреднемесячная заработная плата работников по полному кругу организаций (по виду деятельности «Обеспечение электрической энергией, газом и паром; кондиционирование воздуха») по данным органов статистики по "&amp;Титульный!AC23&amp;" за "&amp;PRD-2&amp;" год составила, тыс.руб."</f>
        <v xml:space="preserve"> Cреднемесячная заработная плата работников по полному кругу организаций (по виду деятельности «Обеспечение электрической энергией, газом и паром; кондиционирование воздуха») по данным органов статистики по Республика Алтай за 2024 год составила, тыс.руб.</v>
      </c>
      <c r="AC589" s="896"/>
      <c r="AD589" s="896"/>
      <c r="AE589" s="896"/>
      <c r="AF589" s="896"/>
      <c r="AG589" s="896"/>
      <c r="AH589" s="896"/>
      <c r="AI589" s="896"/>
      <c r="AJ589" s="896"/>
      <c r="AK589" s="896"/>
      <c r="AL589" s="896"/>
      <c r="AM589" s="896"/>
      <c r="AN589" s="896"/>
      <c r="AO589" s="896"/>
      <c r="AP589" s="899"/>
      <c r="AQ589" s="327"/>
    </row>
    <row r="590" spans="4:45" ht="51" customHeight="1" outlineLevel="2">
      <c r="D590" s="1">
        <v>68</v>
      </c>
      <c r="AB590" s="896" t="str">
        <f>IFERROR("Экспертами был проведён анализ экономической обоснованности фактических расходов затрат по статье «Отчисления на социальные нужды» за "&amp;PRD-2&amp;" год. Фактическая заработная плата за "&amp;PRD-2&amp;" год по данным организации на 1 работника составила "&amp;(ROUND(#REF!/#REF!/12,2)&amp;" тыс.руб., что "&amp;IF((#REF!/#REF!)&gt;AQ589,"выше",IF((#REF!/#REF!)&gt;AQ589,"ниже","равно"))&amp;" среднемесячной заработной платы работников по полному кругу организаций (по виду деятельности «Обеспечение электрической энергией, газом и паром; кондиционирование воздуха»)."),"")</f>
        <v/>
      </c>
      <c r="AC590" s="896"/>
      <c r="AD590" s="896"/>
      <c r="AE590" s="896"/>
      <c r="AF590" s="896"/>
      <c r="AG590" s="896"/>
      <c r="AH590" s="896"/>
      <c r="AI590" s="896"/>
      <c r="AJ590" s="896"/>
      <c r="AK590" s="896"/>
      <c r="AL590" s="896"/>
      <c r="AM590" s="896"/>
      <c r="AN590" s="896"/>
      <c r="AO590" s="896"/>
      <c r="AP590" s="896"/>
      <c r="AQ590" s="896"/>
    </row>
    <row r="591" spans="4:45" ht="33.75" customHeight="1" outlineLevel="2">
      <c r="D591" s="1">
        <v>45</v>
      </c>
      <c r="AB591" s="894"/>
      <c r="AC591" s="894"/>
      <c r="AD591" s="894"/>
      <c r="AE591" s="894"/>
      <c r="AF591" s="894"/>
      <c r="AG591" s="894"/>
      <c r="AH591" s="894"/>
      <c r="AI591" s="894"/>
      <c r="AJ591" s="894"/>
      <c r="AK591" s="894"/>
      <c r="AL591" s="894"/>
      <c r="AM591" s="894"/>
      <c r="AN591" s="894"/>
      <c r="AO591" s="894"/>
      <c r="AP591" s="894"/>
      <c r="AQ591" s="894"/>
    </row>
    <row r="592" spans="4:45" ht="33.75" customHeight="1" outlineLevel="2">
      <c r="D592" s="1">
        <v>45</v>
      </c>
      <c r="AB592" s="896"/>
      <c r="AC592" s="896"/>
      <c r="AD592" s="896"/>
      <c r="AE592" s="896"/>
      <c r="AF592" s="896"/>
      <c r="AG592" s="896"/>
      <c r="AH592" s="896"/>
      <c r="AI592" s="896"/>
      <c r="AJ592" s="896"/>
      <c r="AK592" s="896"/>
      <c r="AL592" s="896"/>
      <c r="AM592" s="896"/>
      <c r="AN592" s="896"/>
      <c r="AO592" s="896"/>
      <c r="AP592" s="896"/>
      <c r="AQ592" s="896"/>
    </row>
    <row r="593" spans="4:43" ht="28.5" hidden="1" customHeight="1">
      <c r="D593" s="1">
        <v>0</v>
      </c>
      <c r="AB593" s="781"/>
      <c r="AC593" s="781"/>
      <c r="AD593" s="781"/>
      <c r="AE593" s="781"/>
      <c r="AF593" s="781"/>
      <c r="AG593" s="781"/>
      <c r="AH593" s="781"/>
      <c r="AI593" s="781"/>
      <c r="AJ593" s="781"/>
      <c r="AK593" s="781"/>
      <c r="AL593" s="781"/>
      <c r="AM593" s="781"/>
      <c r="AN593" s="781"/>
      <c r="AO593" s="781"/>
      <c r="AP593" s="781"/>
      <c r="AQ593" s="781"/>
    </row>
    <row r="594" spans="4:43" ht="33.75" customHeight="1">
      <c r="D594" s="1">
        <v>45</v>
      </c>
      <c r="AB594" s="898" t="s">
        <v>1524</v>
      </c>
      <c r="AC594" s="890"/>
      <c r="AD594" s="890"/>
      <c r="AE594" s="890"/>
      <c r="AF594" s="890"/>
      <c r="AG594" s="890"/>
      <c r="AH594" s="890"/>
      <c r="AI594" s="890"/>
      <c r="AJ594" s="890"/>
      <c r="AK594" s="890"/>
      <c r="AL594" s="890"/>
      <c r="AM594" s="890"/>
      <c r="AN594" s="890"/>
      <c r="AO594" s="890"/>
      <c r="AP594" s="890"/>
      <c r="AQ594" s="890"/>
    </row>
    <row r="595" spans="4:43" ht="33.75" customHeight="1" outlineLevel="1">
      <c r="D595" s="1">
        <v>45</v>
      </c>
      <c r="AB595" s="894" t="e">
        <f>"Утверждённые расходы на "&amp;PRD-1&amp;" год составили "&amp;ROUND(#REF!,2)&amp;" тыс. руб. Планируемый организацией размер прибыли на капитальные вложения, включаемых в необходимую валовую выручку на "&amp;PRD&amp;" год, составляет "&amp;ROUND(#REF!,2)&amp;" тыс. руб. "</f>
        <v>#REF!</v>
      </c>
      <c r="AC595" s="894"/>
      <c r="AD595" s="894"/>
      <c r="AE595" s="894"/>
      <c r="AF595" s="894"/>
      <c r="AG595" s="894"/>
      <c r="AH595" s="894"/>
      <c r="AI595" s="894"/>
      <c r="AJ595" s="894"/>
      <c r="AK595" s="894"/>
      <c r="AL595" s="894"/>
      <c r="AM595" s="894"/>
      <c r="AN595" s="894"/>
      <c r="AO595" s="894"/>
      <c r="AP595" s="894"/>
      <c r="AQ595" s="894"/>
    </row>
    <row r="596" spans="4:43" ht="33.75" customHeight="1" outlineLevel="1">
      <c r="D596" s="1">
        <v>45</v>
      </c>
      <c r="AB596" s="894" t="s">
        <v>1525</v>
      </c>
      <c r="AC596" s="894"/>
      <c r="AD596" s="894"/>
      <c r="AE596" s="894"/>
      <c r="AF596" s="894"/>
      <c r="AG596" s="894"/>
      <c r="AH596" s="894"/>
      <c r="AI596" s="894"/>
      <c r="AJ596" s="894"/>
      <c r="AK596" s="894"/>
      <c r="AL596" s="894"/>
      <c r="AM596" s="894"/>
      <c r="AN596" s="894"/>
      <c r="AO596" s="894"/>
      <c r="AP596" s="894"/>
      <c r="AQ596" s="894"/>
    </row>
    <row r="597" spans="4:43" ht="33.75" customHeight="1" outlineLevel="1">
      <c r="D597" s="1">
        <v>45</v>
      </c>
      <c r="AB597" s="894" t="s">
        <v>1526</v>
      </c>
      <c r="AC597" s="894"/>
      <c r="AD597" s="894"/>
      <c r="AE597" s="894"/>
      <c r="AF597" s="894"/>
      <c r="AG597" s="894"/>
      <c r="AH597" s="894"/>
      <c r="AI597" s="894"/>
      <c r="AJ597" s="894"/>
      <c r="AK597" s="894"/>
      <c r="AL597" s="894"/>
      <c r="AM597" s="894"/>
      <c r="AN597" s="894"/>
      <c r="AO597" s="894"/>
      <c r="AP597" s="894"/>
      <c r="AQ597" s="894"/>
    </row>
    <row r="598" spans="4:43" ht="33.75" customHeight="1" outlineLevel="1">
      <c r="D598" s="1">
        <v>45</v>
      </c>
      <c r="AB598" s="894"/>
      <c r="AC598" s="894"/>
      <c r="AD598" s="894"/>
      <c r="AE598" s="894"/>
      <c r="AF598" s="894"/>
      <c r="AG598" s="894"/>
      <c r="AH598" s="894"/>
      <c r="AI598" s="894"/>
      <c r="AJ598" s="894"/>
      <c r="AK598" s="894"/>
      <c r="AL598" s="894"/>
      <c r="AM598" s="894"/>
      <c r="AN598" s="894"/>
      <c r="AO598" s="894"/>
      <c r="AP598" s="894"/>
      <c r="AQ598" s="894"/>
    </row>
    <row r="599" spans="4:43" ht="33.75" customHeight="1" outlineLevel="1">
      <c r="D599" s="1">
        <v>45</v>
      </c>
      <c r="AB599" s="894"/>
      <c r="AC599" s="894"/>
      <c r="AD599" s="894"/>
      <c r="AE599" s="894"/>
      <c r="AF599" s="894"/>
      <c r="AG599" s="894"/>
      <c r="AH599" s="894"/>
      <c r="AI599" s="894"/>
      <c r="AJ599" s="894"/>
      <c r="AK599" s="894"/>
      <c r="AL599" s="894"/>
      <c r="AM599" s="894"/>
      <c r="AN599" s="894"/>
      <c r="AO599" s="894"/>
      <c r="AP599" s="894"/>
      <c r="AQ599" s="894"/>
    </row>
    <row r="600" spans="4:43" ht="33.75" customHeight="1" outlineLevel="1">
      <c r="D600" s="1">
        <v>45</v>
      </c>
      <c r="AB600" s="894" t="e">
        <f>"Экспертами принято решение учесть расходы по данной статье в размере "&amp;ROUND(#REF!,2)&amp;" тыс. руб."</f>
        <v>#REF!</v>
      </c>
      <c r="AC600" s="894"/>
      <c r="AD600" s="894"/>
      <c r="AE600" s="894"/>
      <c r="AF600" s="894"/>
      <c r="AG600" s="894"/>
      <c r="AH600" s="894"/>
      <c r="AI600" s="894"/>
      <c r="AJ600" s="894"/>
      <c r="AK600" s="894"/>
      <c r="AL600" s="894"/>
      <c r="AM600" s="894"/>
      <c r="AN600" s="894"/>
      <c r="AO600" s="894"/>
      <c r="AP600" s="894"/>
      <c r="AQ600" s="894"/>
    </row>
    <row r="601" spans="4:43" ht="33.75" customHeight="1" outlineLevel="1">
      <c r="D601" s="1">
        <v>45</v>
      </c>
      <c r="AB601" s="894"/>
      <c r="AC601" s="894"/>
      <c r="AD601" s="894"/>
      <c r="AE601" s="894"/>
      <c r="AF601" s="894"/>
      <c r="AG601" s="894"/>
      <c r="AH601" s="894"/>
      <c r="AI601" s="894"/>
      <c r="AJ601" s="894"/>
      <c r="AK601" s="894"/>
      <c r="AL601" s="894"/>
      <c r="AM601" s="894"/>
      <c r="AN601" s="894"/>
      <c r="AO601" s="894"/>
      <c r="AP601" s="894"/>
      <c r="AQ601" s="894"/>
    </row>
    <row r="602" spans="4:43" ht="33.75" customHeight="1" outlineLevel="1">
      <c r="D602" s="1">
        <v>45</v>
      </c>
      <c r="AB602" s="894"/>
      <c r="AC602" s="894"/>
      <c r="AD602" s="894"/>
      <c r="AE602" s="894"/>
      <c r="AF602" s="894"/>
      <c r="AG602" s="894"/>
      <c r="AH602" s="894"/>
      <c r="AI602" s="894"/>
      <c r="AJ602" s="894"/>
      <c r="AK602" s="894"/>
      <c r="AL602" s="894"/>
      <c r="AM602" s="894"/>
      <c r="AN602" s="894"/>
      <c r="AO602" s="894"/>
      <c r="AP602" s="894"/>
      <c r="AQ602" s="894"/>
    </row>
    <row r="603" spans="4:43" ht="33.75" customHeight="1" outlineLevel="1">
      <c r="D603" s="1">
        <v>45</v>
      </c>
      <c r="AB603" s="894" t="e">
        <f>"Фактические расходы по данной статье  за "&amp;PRD-2&amp;" год, в размере "&amp;ROUND(#REF!,2)&amp;" тыс. руб., подтверждены отчетами по инвестиционной программе"</f>
        <v>#REF!</v>
      </c>
      <c r="AC603" s="894"/>
      <c r="AD603" s="894"/>
      <c r="AE603" s="894"/>
      <c r="AF603" s="894"/>
      <c r="AG603" s="894"/>
      <c r="AH603" s="894"/>
      <c r="AI603" s="894"/>
      <c r="AJ603" s="894"/>
      <c r="AK603" s="894"/>
      <c r="AL603" s="894"/>
      <c r="AM603" s="894"/>
      <c r="AN603" s="894"/>
      <c r="AO603" s="894"/>
      <c r="AP603" s="894"/>
      <c r="AQ603" s="894"/>
    </row>
    <row r="604" spans="4:43" ht="33.75" customHeight="1" outlineLevel="1">
      <c r="D604" s="1">
        <v>45</v>
      </c>
      <c r="AB604" s="894"/>
      <c r="AC604" s="894"/>
      <c r="AD604" s="894"/>
      <c r="AE604" s="894"/>
      <c r="AF604" s="894"/>
      <c r="AG604" s="894"/>
      <c r="AH604" s="894"/>
      <c r="AI604" s="894"/>
      <c r="AJ604" s="894"/>
      <c r="AK604" s="894"/>
      <c r="AL604" s="894"/>
      <c r="AM604" s="894"/>
      <c r="AN604" s="894"/>
      <c r="AO604" s="894"/>
      <c r="AP604" s="894"/>
      <c r="AQ604" s="894"/>
    </row>
    <row r="605" spans="4:43" ht="33.75" customHeight="1" outlineLevel="1">
      <c r="D605" s="1">
        <v>45</v>
      </c>
      <c r="AB605" s="894"/>
      <c r="AC605" s="894"/>
      <c r="AD605" s="894"/>
      <c r="AE605" s="894"/>
      <c r="AF605" s="894"/>
      <c r="AG605" s="894"/>
      <c r="AH605" s="894"/>
      <c r="AI605" s="894"/>
      <c r="AJ605" s="894"/>
      <c r="AK605" s="894"/>
      <c r="AL605" s="894"/>
      <c r="AM605" s="894"/>
      <c r="AN605" s="894"/>
      <c r="AO605" s="894"/>
      <c r="AP605" s="894"/>
      <c r="AQ605" s="894"/>
    </row>
    <row r="606" spans="4:43" ht="33.75" customHeight="1" outlineLevel="1">
      <c r="D606" s="1">
        <v>45</v>
      </c>
      <c r="AB606" s="894"/>
      <c r="AC606" s="894"/>
      <c r="AD606" s="894"/>
      <c r="AE606" s="894"/>
      <c r="AF606" s="894"/>
      <c r="AG606" s="894"/>
      <c r="AH606" s="894"/>
      <c r="AI606" s="894"/>
      <c r="AJ606" s="894"/>
      <c r="AK606" s="894"/>
      <c r="AL606" s="894"/>
      <c r="AM606" s="894"/>
      <c r="AN606" s="894"/>
      <c r="AO606" s="894"/>
      <c r="AP606" s="894"/>
      <c r="AQ606" s="894"/>
    </row>
    <row r="607" spans="4:43" ht="28.5" hidden="1" customHeight="1">
      <c r="D607" s="1">
        <v>0</v>
      </c>
      <c r="AB607" s="890"/>
      <c r="AC607" s="890"/>
      <c r="AD607" s="890"/>
      <c r="AE607" s="890"/>
      <c r="AF607" s="890"/>
      <c r="AG607" s="890"/>
      <c r="AH607" s="890"/>
      <c r="AI607" s="890"/>
      <c r="AJ607" s="890"/>
      <c r="AK607" s="890"/>
      <c r="AL607" s="890"/>
      <c r="AM607" s="890"/>
      <c r="AN607" s="890"/>
      <c r="AO607" s="890"/>
      <c r="AP607" s="890"/>
      <c r="AQ607" s="890"/>
    </row>
    <row r="608" spans="4:43" ht="19.5" customHeight="1" outlineLevel="1">
      <c r="D608" s="1">
        <v>26</v>
      </c>
      <c r="AB608" s="898" t="s">
        <v>1527</v>
      </c>
      <c r="AC608" s="781"/>
      <c r="AD608" s="781"/>
      <c r="AE608" s="781"/>
      <c r="AF608" s="781"/>
      <c r="AG608" s="781"/>
      <c r="AH608" s="781"/>
      <c r="AI608" s="781"/>
      <c r="AJ608" s="781"/>
      <c r="AK608" s="781"/>
      <c r="AL608" s="781"/>
      <c r="AM608" s="781"/>
      <c r="AN608" s="781"/>
      <c r="AO608" s="781"/>
      <c r="AP608" s="781"/>
      <c r="AQ608" s="781"/>
    </row>
    <row r="609" spans="4:43" ht="33.75" customHeight="1" outlineLevel="1">
      <c r="D609" s="1">
        <v>45</v>
      </c>
      <c r="AB609" s="896" t="s">
        <v>1528</v>
      </c>
      <c r="AC609" s="896"/>
      <c r="AD609" s="896"/>
      <c r="AE609" s="896"/>
      <c r="AF609" s="896"/>
      <c r="AG609" s="896"/>
      <c r="AH609" s="896"/>
      <c r="AI609" s="896"/>
      <c r="AJ609" s="896"/>
      <c r="AK609" s="896"/>
      <c r="AL609" s="896"/>
      <c r="AM609" s="896"/>
      <c r="AN609" s="896"/>
      <c r="AO609" s="896"/>
      <c r="AP609" s="896"/>
      <c r="AQ609" s="896"/>
    </row>
    <row r="610" spans="4:43" ht="25.5" customHeight="1" outlineLevel="1">
      <c r="D610" s="1">
        <v>34</v>
      </c>
      <c r="AB610" s="896" t="e">
        <f>"Утверждено на "&amp;PRD-1&amp;" год - "&amp;ROUND(#REF!,2)&amp;" тыс.руб."</f>
        <v>#REF!</v>
      </c>
      <c r="AC610" s="896"/>
      <c r="AD610" s="896"/>
      <c r="AE610" s="896"/>
      <c r="AF610" s="896"/>
      <c r="AG610" s="896"/>
      <c r="AH610" s="896"/>
      <c r="AI610" s="896"/>
      <c r="AJ610" s="896"/>
      <c r="AK610" s="896"/>
      <c r="AL610" s="896"/>
      <c r="AM610" s="896"/>
      <c r="AN610" s="896"/>
      <c r="AO610" s="896"/>
      <c r="AP610" s="896"/>
      <c r="AQ610" s="896"/>
    </row>
    <row r="611" spans="4:43" ht="33.75" customHeight="1" outlineLevel="1">
      <c r="D611" s="1">
        <v>45</v>
      </c>
      <c r="AB611" s="896" t="e">
        <f>AG27&amp;" планирует уплату налога на прибыль на "&amp;PRD&amp;" год, в размере "&amp;ROUND(#REF!,2)&amp;" тыс.руб."</f>
        <v>#REF!</v>
      </c>
      <c r="AC611" s="896"/>
      <c r="AD611" s="896"/>
      <c r="AE611" s="896"/>
      <c r="AF611" s="896"/>
      <c r="AG611" s="896"/>
      <c r="AH611" s="896"/>
      <c r="AI611" s="896"/>
      <c r="AJ611" s="896"/>
      <c r="AK611" s="896"/>
      <c r="AL611" s="896"/>
      <c r="AM611" s="896"/>
      <c r="AN611" s="896"/>
      <c r="AO611" s="896"/>
      <c r="AP611" s="896"/>
      <c r="AQ611" s="896"/>
    </row>
    <row r="612" spans="4:43" ht="33.75" customHeight="1" outlineLevel="1">
      <c r="D612" s="1">
        <v>45</v>
      </c>
      <c r="AB612" s="894"/>
      <c r="AC612" s="894"/>
      <c r="AD612" s="894"/>
      <c r="AE612" s="894"/>
      <c r="AF612" s="894"/>
      <c r="AG612" s="894"/>
      <c r="AH612" s="894"/>
      <c r="AI612" s="894"/>
      <c r="AJ612" s="894"/>
      <c r="AK612" s="894"/>
      <c r="AL612" s="894"/>
      <c r="AM612" s="894"/>
      <c r="AN612" s="894"/>
      <c r="AO612" s="894"/>
      <c r="AP612" s="894"/>
      <c r="AQ612" s="894"/>
    </row>
    <row r="613" spans="4:43" ht="67.5" customHeight="1" outlineLevel="1">
      <c r="D613" s="1">
        <v>90</v>
      </c>
      <c r="AB613" s="894" t="e">
        <f>IF(#REF!=0,"Пунктом 2 статьи 346.11 главы 26.2 «Упрощенная система налогообложения»  Налогового кодекса РФ предусмотрено: "&amp;"«Применение упрощенной системы налогообложения организациями предусматривает их освобождение"&amp;"от обязанности по уплате налога на прибыль организаций (за исключением налога, уплачиваемого с доходов, облагаемых по налоговым ставкам, предусмотренным пунктами 1.6, 3 и 4 статьи 284 настоящего Кодекса),"&amp;" налога на имущество организаций (за исключением налога, уплачиваемого в отношении объектов недвижимого имущества, налоговая база по которым определяется как их кадастровая стоимость в соответствии с Налоговым кодексом РФ».","")</f>
        <v>#REF!</v>
      </c>
      <c r="AC613" s="894"/>
      <c r="AD613" s="894"/>
      <c r="AE613" s="894"/>
      <c r="AF613" s="894"/>
      <c r="AG613" s="894"/>
      <c r="AH613" s="894"/>
      <c r="AI613" s="894"/>
      <c r="AJ613" s="894"/>
      <c r="AK613" s="894"/>
      <c r="AL613" s="894"/>
      <c r="AM613" s="894"/>
      <c r="AN613" s="894"/>
      <c r="AO613" s="894"/>
      <c r="AP613" s="894"/>
      <c r="AQ613" s="894"/>
    </row>
    <row r="614" spans="4:43" ht="27.75" customHeight="1" outlineLevel="1">
      <c r="D614" s="1">
        <v>37</v>
      </c>
      <c r="AB614" s="896" t="e">
        <f>"Экспертами принято решение "&amp;IF(#REF!=#REF!,"согласиться с организацией и учесть сумму налога на прибыль на "&amp;PRD&amp;" год в размере "&amp;ROUND(#REF!,2)&amp;" тыс. руб.","признать экономически обоснованными расходы на "&amp;PRD&amp;" год в размере "&amp;ROUND(#REF!,2)&amp;" тыс. руб.")</f>
        <v>#REF!</v>
      </c>
      <c r="AC614" s="896"/>
      <c r="AD614" s="896"/>
      <c r="AE614" s="896"/>
      <c r="AF614" s="896"/>
      <c r="AG614" s="896"/>
      <c r="AH614" s="896"/>
      <c r="AI614" s="896"/>
      <c r="AJ614" s="896"/>
      <c r="AK614" s="896"/>
      <c r="AL614" s="896"/>
      <c r="AM614" s="896"/>
      <c r="AN614" s="896"/>
      <c r="AO614" s="896"/>
      <c r="AP614" s="896"/>
      <c r="AQ614" s="896"/>
    </row>
    <row r="615" spans="4:43" ht="33.75" customHeight="1" outlineLevel="1">
      <c r="D615" s="1">
        <v>45</v>
      </c>
      <c r="AB615" s="896" t="e">
        <f>"Расходы на уплату налога на прибыль на "&amp;PRD-2&amp;" год планировались в размере  "&amp;ROUND(#REF!,2)&amp;" тыс.руб., фактические расходы составили  "&amp;ROUND(#REF!,2)&amp;" тыс.руб. и признаются экспертами экономически обоснованными в размере  "&amp;ROUND(#REF!,2)&amp;" тыс. руб. "</f>
        <v>#REF!</v>
      </c>
      <c r="AC615" s="896"/>
      <c r="AD615" s="896"/>
      <c r="AE615" s="896"/>
      <c r="AF615" s="896"/>
      <c r="AG615" s="896"/>
      <c r="AH615" s="896"/>
      <c r="AI615" s="896"/>
      <c r="AJ615" s="896"/>
      <c r="AK615" s="896"/>
      <c r="AL615" s="896"/>
      <c r="AM615" s="896"/>
      <c r="AN615" s="896"/>
      <c r="AO615" s="896"/>
      <c r="AP615" s="896"/>
      <c r="AQ615" s="896"/>
    </row>
    <row r="616" spans="4:43" ht="33.75" customHeight="1">
      <c r="D616" s="1">
        <v>45</v>
      </c>
      <c r="AB616" s="781"/>
      <c r="AC616" s="781"/>
      <c r="AD616" s="781"/>
      <c r="AE616" s="781"/>
      <c r="AF616" s="781"/>
      <c r="AG616" s="781"/>
      <c r="AH616" s="781"/>
      <c r="AI616" s="781"/>
      <c r="AJ616" s="781"/>
      <c r="AK616" s="781"/>
      <c r="AL616" s="781"/>
      <c r="AM616" s="781"/>
      <c r="AN616" s="781"/>
      <c r="AO616" s="781"/>
      <c r="AP616" s="781"/>
      <c r="AQ616" s="781"/>
    </row>
    <row r="617" spans="4:43" ht="33.75" customHeight="1" outlineLevel="1">
      <c r="D617" s="1">
        <v>45</v>
      </c>
      <c r="AB617" s="898" t="s">
        <v>1529</v>
      </c>
      <c r="AC617" s="890"/>
      <c r="AD617" s="890"/>
      <c r="AE617" s="890"/>
      <c r="AF617" s="890"/>
      <c r="AG617" s="890"/>
      <c r="AH617" s="890"/>
      <c r="AI617" s="890"/>
      <c r="AJ617" s="890"/>
      <c r="AK617" s="890"/>
      <c r="AL617" s="890"/>
      <c r="AM617" s="890"/>
      <c r="AN617" s="890"/>
      <c r="AO617" s="890"/>
      <c r="AP617" s="890"/>
      <c r="AQ617" s="890"/>
    </row>
    <row r="618" spans="4:43" ht="33.75" customHeight="1" outlineLevel="1">
      <c r="D618" s="1">
        <v>45</v>
      </c>
      <c r="AB618"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618" s="894"/>
      <c r="AD618" s="894"/>
      <c r="AE618" s="894"/>
      <c r="AF618" s="894"/>
      <c r="AG618" s="894"/>
      <c r="AH618" s="894"/>
      <c r="AI618" s="894"/>
      <c r="AJ618" s="894"/>
      <c r="AK618" s="894"/>
      <c r="AL618" s="894"/>
      <c r="AM618" s="894"/>
      <c r="AN618" s="894"/>
      <c r="AO618" s="894"/>
      <c r="AP618" s="894"/>
      <c r="AQ618" s="894"/>
    </row>
    <row r="619" spans="4:43" ht="33.75" customHeight="1" outlineLevel="1">
      <c r="D619" s="1">
        <v>45</v>
      </c>
      <c r="AB619" s="894" t="s">
        <v>1530</v>
      </c>
      <c r="AC619" s="894"/>
      <c r="AD619" s="894"/>
      <c r="AE619" s="894"/>
      <c r="AF619" s="894"/>
      <c r="AG619" s="894"/>
      <c r="AH619" s="894"/>
      <c r="AI619" s="894"/>
      <c r="AJ619" s="894"/>
      <c r="AK619" s="894"/>
      <c r="AL619" s="894"/>
      <c r="AM619" s="894"/>
      <c r="AN619" s="894"/>
      <c r="AO619" s="894"/>
      <c r="AP619" s="894"/>
      <c r="AQ619" s="894"/>
    </row>
    <row r="620" spans="4:43" ht="33.75" customHeight="1" outlineLevel="1">
      <c r="D620" s="1">
        <v>45</v>
      </c>
      <c r="AB620" s="894"/>
      <c r="AC620" s="894"/>
      <c r="AD620" s="894"/>
      <c r="AE620" s="894"/>
      <c r="AF620" s="894"/>
      <c r="AG620" s="894"/>
      <c r="AH620" s="894"/>
      <c r="AI620" s="894"/>
      <c r="AJ620" s="894"/>
      <c r="AK620" s="894"/>
      <c r="AL620" s="894"/>
      <c r="AM620" s="894"/>
      <c r="AN620" s="894"/>
      <c r="AO620" s="894"/>
      <c r="AP620" s="894"/>
      <c r="AQ620" s="894"/>
    </row>
    <row r="621" spans="4:43" ht="33.75" customHeight="1" outlineLevel="1">
      <c r="D621" s="1">
        <v>45</v>
      </c>
      <c r="AB621" s="894"/>
      <c r="AC621" s="894"/>
      <c r="AD621" s="894"/>
      <c r="AE621" s="894"/>
      <c r="AF621" s="894"/>
      <c r="AG621" s="894"/>
      <c r="AH621" s="894"/>
      <c r="AI621" s="894"/>
      <c r="AJ621" s="894"/>
      <c r="AK621" s="894"/>
      <c r="AL621" s="894"/>
      <c r="AM621" s="894"/>
      <c r="AN621" s="894"/>
      <c r="AO621" s="894"/>
      <c r="AP621" s="894"/>
      <c r="AQ621" s="894"/>
    </row>
    <row r="622" spans="4:43" ht="33.75" customHeight="1" outlineLevel="1">
      <c r="D622" s="1">
        <v>45</v>
      </c>
      <c r="AB622" s="894"/>
      <c r="AC622" s="894"/>
      <c r="AD622" s="894"/>
      <c r="AE622" s="894"/>
      <c r="AF622" s="894"/>
      <c r="AG622" s="894"/>
      <c r="AH622" s="894"/>
      <c r="AI622" s="894"/>
      <c r="AJ622" s="894"/>
      <c r="AK622" s="894"/>
      <c r="AL622" s="894"/>
      <c r="AM622" s="894"/>
      <c r="AN622" s="894"/>
      <c r="AO622" s="894"/>
      <c r="AP622" s="894"/>
      <c r="AQ622" s="894"/>
    </row>
    <row r="623" spans="4:43" ht="33.75" customHeight="1" outlineLevel="1">
      <c r="D623" s="1">
        <v>45</v>
      </c>
      <c r="AB623" s="894" t="e">
        <f>"Экспертами принято решение признать экономически обоснованными расходы на "&amp;PRD&amp;" год в размере "&amp;ROUND(#REF!,2)&amp;" тыс. руб."</f>
        <v>#REF!</v>
      </c>
      <c r="AC623" s="894"/>
      <c r="AD623" s="894"/>
      <c r="AE623" s="894"/>
      <c r="AF623" s="894"/>
      <c r="AG623" s="894"/>
      <c r="AH623" s="894"/>
      <c r="AI623" s="894"/>
      <c r="AJ623" s="894"/>
      <c r="AK623" s="894"/>
      <c r="AL623" s="894"/>
      <c r="AM623" s="894"/>
      <c r="AN623" s="894"/>
      <c r="AO623" s="894"/>
      <c r="AP623" s="894"/>
      <c r="AQ623" s="894"/>
    </row>
    <row r="624" spans="4:43" ht="33.75" customHeight="1" outlineLevel="1">
      <c r="D624" s="1">
        <v>45</v>
      </c>
      <c r="AB624" s="894"/>
      <c r="AC624" s="894"/>
      <c r="AD624" s="894"/>
      <c r="AE624" s="894"/>
      <c r="AF624" s="894"/>
      <c r="AG624" s="894"/>
      <c r="AH624" s="894"/>
      <c r="AI624" s="894"/>
      <c r="AJ624" s="894"/>
      <c r="AK624" s="894"/>
      <c r="AL624" s="894"/>
      <c r="AM624" s="894"/>
      <c r="AN624" s="894"/>
      <c r="AO624" s="894"/>
      <c r="AP624" s="894"/>
      <c r="AQ624" s="894"/>
    </row>
    <row r="625" spans="4:43" ht="33.75" customHeight="1" outlineLevel="1">
      <c r="D625" s="1">
        <v>45</v>
      </c>
      <c r="AB625" s="894"/>
      <c r="AC625" s="894"/>
      <c r="AD625" s="894"/>
      <c r="AE625" s="894"/>
      <c r="AF625" s="894"/>
      <c r="AG625" s="894"/>
      <c r="AH625" s="894"/>
      <c r="AI625" s="894"/>
      <c r="AJ625" s="894"/>
      <c r="AK625" s="894"/>
      <c r="AL625" s="894"/>
      <c r="AM625" s="894"/>
      <c r="AN625" s="894"/>
      <c r="AO625" s="894"/>
      <c r="AP625" s="894"/>
      <c r="AQ625" s="894"/>
    </row>
    <row r="626" spans="4:43" ht="28.5" hidden="1" customHeight="1">
      <c r="D626" s="1">
        <v>0</v>
      </c>
      <c r="AB626" s="890"/>
      <c r="AC626" s="890"/>
      <c r="AD626" s="890"/>
      <c r="AE626" s="890"/>
      <c r="AF626" s="890"/>
      <c r="AG626" s="890"/>
      <c r="AH626" s="890"/>
      <c r="AI626" s="890"/>
      <c r="AJ626" s="890"/>
      <c r="AK626" s="890"/>
      <c r="AL626" s="890"/>
      <c r="AM626" s="890"/>
      <c r="AN626" s="890"/>
      <c r="AO626" s="890"/>
      <c r="AP626" s="890"/>
      <c r="AQ626" s="890"/>
    </row>
    <row r="627" spans="4:43" ht="33.75" customHeight="1" outlineLevel="1">
      <c r="D627" s="1">
        <v>45</v>
      </c>
      <c r="AB627" s="898" t="s">
        <v>1483</v>
      </c>
      <c r="AC627" s="890"/>
      <c r="AD627" s="890"/>
      <c r="AE627" s="890"/>
      <c r="AF627" s="890"/>
      <c r="AG627" s="890"/>
      <c r="AH627" s="890"/>
      <c r="AI627" s="890"/>
      <c r="AJ627" s="890"/>
      <c r="AK627" s="890"/>
      <c r="AL627" s="890"/>
      <c r="AM627" s="890"/>
      <c r="AN627" s="890"/>
      <c r="AO627" s="890"/>
      <c r="AP627" s="890"/>
      <c r="AQ627" s="890"/>
    </row>
    <row r="628" spans="4:43" ht="33.75" customHeight="1" outlineLevel="1">
      <c r="D628" s="1">
        <v>45</v>
      </c>
      <c r="AB628" s="894" t="s">
        <v>1470</v>
      </c>
      <c r="AC628" s="894"/>
      <c r="AD628" s="894"/>
      <c r="AE628" s="894"/>
      <c r="AF628" s="894"/>
      <c r="AG628" s="894"/>
      <c r="AH628" s="894"/>
      <c r="AI628" s="894"/>
      <c r="AJ628" s="894"/>
      <c r="AK628" s="894"/>
      <c r="AL628" s="894"/>
      <c r="AM628" s="894"/>
      <c r="AN628" s="894"/>
      <c r="AO628" s="894"/>
      <c r="AP628" s="894"/>
      <c r="AQ628" s="894"/>
    </row>
    <row r="629" spans="4:43" ht="87.75" customHeight="1" outlineLevel="1">
      <c r="D629" s="1">
        <v>117</v>
      </c>
      <c r="AB629" s="894" t="s">
        <v>1531</v>
      </c>
      <c r="AC629" s="894"/>
      <c r="AD629" s="894"/>
      <c r="AE629" s="894"/>
      <c r="AF629" s="894"/>
      <c r="AG629" s="894"/>
      <c r="AH629" s="894"/>
      <c r="AI629" s="894"/>
      <c r="AJ629" s="894"/>
      <c r="AK629" s="894"/>
      <c r="AL629" s="894"/>
      <c r="AM629" s="894"/>
      <c r="AN629" s="894"/>
      <c r="AO629" s="894"/>
      <c r="AP629" s="894"/>
      <c r="AQ629" s="894"/>
    </row>
    <row r="630" spans="4:43" ht="33.75" customHeight="1" outlineLevel="1">
      <c r="D630" s="1">
        <v>45</v>
      </c>
      <c r="AB630" s="894" t="s">
        <v>1472</v>
      </c>
      <c r="AC630" s="894"/>
      <c r="AD630" s="894"/>
      <c r="AE630" s="894"/>
      <c r="AF630" s="894"/>
      <c r="AG630" s="894"/>
      <c r="AH630" s="894"/>
      <c r="AI630" s="894"/>
      <c r="AJ630" s="894"/>
      <c r="AK630" s="894"/>
      <c r="AL630" s="894"/>
      <c r="AM630" s="894"/>
      <c r="AN630" s="894"/>
      <c r="AO630" s="894"/>
      <c r="AP630" s="894"/>
      <c r="AQ630" s="894"/>
    </row>
    <row r="631" spans="4:43" ht="33.75" customHeight="1" outlineLevel="1">
      <c r="D631" s="1">
        <v>45</v>
      </c>
      <c r="AB631" s="894"/>
      <c r="AC631" s="894"/>
      <c r="AD631" s="894"/>
      <c r="AE631" s="894"/>
      <c r="AF631" s="894"/>
      <c r="AG631" s="894"/>
      <c r="AH631" s="894"/>
      <c r="AI631" s="894"/>
      <c r="AJ631" s="894"/>
      <c r="AK631" s="894"/>
      <c r="AL631" s="894"/>
      <c r="AM631" s="894"/>
      <c r="AN631" s="894"/>
      <c r="AO631" s="894"/>
      <c r="AP631" s="894"/>
      <c r="AQ631" s="894"/>
    </row>
    <row r="632" spans="4:43" ht="33.75" customHeight="1" outlineLevel="1">
      <c r="D632" s="1">
        <v>45</v>
      </c>
      <c r="AB632" s="894" t="s">
        <v>1532</v>
      </c>
      <c r="AC632" s="894"/>
      <c r="AD632" s="894"/>
      <c r="AE632" s="894"/>
      <c r="AF632" s="894"/>
      <c r="AG632" s="894"/>
      <c r="AH632" s="894"/>
      <c r="AI632" s="894"/>
      <c r="AJ632" s="894"/>
      <c r="AK632" s="894"/>
      <c r="AL632" s="894"/>
      <c r="AM632" s="894"/>
      <c r="AN632" s="894"/>
      <c r="AO632" s="894"/>
      <c r="AP632" s="894"/>
      <c r="AQ632" s="894"/>
    </row>
    <row r="633" spans="4:43" ht="33.75" customHeight="1" outlineLevel="1">
      <c r="D633" s="1">
        <v>45</v>
      </c>
      <c r="AB633" s="894" t="e">
        <f>$AG$27&amp;" планирует по статье «Теплоэнергия» на "&amp;PRD&amp;" год "&amp;ROUND(#REF!,2)&amp;" тыс.руб. Экономически обоснованные фактические расходы за "&amp;PRD-2&amp;" год составили."&amp;ROUND(#REF!,2)&amp;" тыс.руб."</f>
        <v>#REF!</v>
      </c>
      <c r="AC633" s="894"/>
      <c r="AD633" s="894"/>
      <c r="AE633" s="894"/>
      <c r="AF633" s="894"/>
      <c r="AG633" s="894"/>
      <c r="AH633" s="894"/>
      <c r="AI633" s="894"/>
      <c r="AJ633" s="894"/>
      <c r="AK633" s="894"/>
      <c r="AL633" s="894"/>
      <c r="AM633" s="894"/>
      <c r="AN633" s="894"/>
      <c r="AO633" s="894"/>
      <c r="AP633" s="894"/>
      <c r="AQ633" s="894"/>
    </row>
    <row r="634" spans="4:43" ht="33.75" customHeight="1" outlineLevel="1">
      <c r="D634" s="1">
        <v>45</v>
      </c>
      <c r="AB634" s="894" t="s">
        <v>1477</v>
      </c>
      <c r="AC634" s="894"/>
      <c r="AD634" s="894"/>
      <c r="AE634" s="894"/>
      <c r="AF634" s="894"/>
      <c r="AG634" s="894"/>
      <c r="AH634" s="894"/>
      <c r="AI634" s="894"/>
      <c r="AJ634" s="894"/>
      <c r="AK634" s="894"/>
      <c r="AL634" s="894"/>
      <c r="AM634" s="894"/>
      <c r="AN634" s="894"/>
      <c r="AO634" s="894"/>
      <c r="AP634" s="894"/>
      <c r="AQ634" s="894"/>
    </row>
    <row r="635" spans="4:43" ht="33.75" customHeight="1" outlineLevel="1">
      <c r="D635" s="1">
        <v>45</v>
      </c>
      <c r="AB635" s="894" t="e">
        <f>"Расходы по статье Теплоэнергия принимаются экспертами в размере "&amp;ROUND(#REF!,2)&amp;" тыс.руб."</f>
        <v>#REF!</v>
      </c>
      <c r="AC635" s="894"/>
      <c r="AD635" s="894"/>
      <c r="AE635" s="894"/>
      <c r="AF635" s="894"/>
      <c r="AG635" s="894"/>
      <c r="AH635" s="894"/>
      <c r="AI635" s="894"/>
      <c r="AJ635" s="894"/>
      <c r="AK635" s="894"/>
      <c r="AL635" s="894"/>
      <c r="AM635" s="894"/>
      <c r="AN635" s="894"/>
      <c r="AO635" s="894"/>
      <c r="AP635" s="894"/>
      <c r="AQ635" s="894"/>
    </row>
    <row r="636" spans="4:43" ht="33.75" customHeight="1" outlineLevel="1">
      <c r="D636" s="1">
        <v>45</v>
      </c>
      <c r="AB636" s="894"/>
      <c r="AC636" s="894"/>
      <c r="AD636" s="894"/>
      <c r="AE636" s="894"/>
      <c r="AF636" s="894"/>
      <c r="AG636" s="894"/>
      <c r="AH636" s="894"/>
      <c r="AI636" s="894"/>
      <c r="AJ636" s="894"/>
      <c r="AK636" s="894"/>
      <c r="AL636" s="894"/>
      <c r="AM636" s="894"/>
      <c r="AN636" s="894"/>
      <c r="AO636" s="894"/>
      <c r="AP636" s="894"/>
      <c r="AQ636" s="894"/>
    </row>
    <row r="637" spans="4:43" ht="28.5" hidden="1" customHeight="1">
      <c r="D637" s="1">
        <v>0</v>
      </c>
      <c r="AB637" s="890"/>
      <c r="AC637" s="890"/>
      <c r="AD637" s="890"/>
      <c r="AE637" s="890"/>
      <c r="AF637" s="890"/>
      <c r="AG637" s="890"/>
      <c r="AH637" s="890"/>
      <c r="AI637" s="890"/>
      <c r="AJ637" s="890"/>
      <c r="AK637" s="890"/>
      <c r="AL637" s="890"/>
      <c r="AM637" s="890"/>
      <c r="AN637" s="890"/>
      <c r="AO637" s="890"/>
      <c r="AP637" s="890"/>
      <c r="AQ637" s="890"/>
    </row>
    <row r="638" spans="4:43" ht="19.5" customHeight="1" outlineLevel="1">
      <c r="D638" s="1">
        <v>26</v>
      </c>
      <c r="AB638" s="898" t="s">
        <v>1533</v>
      </c>
      <c r="AC638" s="781"/>
      <c r="AD638" s="781"/>
      <c r="AE638" s="781"/>
      <c r="AF638" s="781"/>
      <c r="AG638" s="781"/>
      <c r="AH638" s="781"/>
      <c r="AI638" s="781"/>
      <c r="AJ638" s="781"/>
      <c r="AK638" s="781"/>
      <c r="AL638" s="781"/>
      <c r="AM638" s="781"/>
      <c r="AN638" s="781"/>
      <c r="AO638" s="781"/>
      <c r="AP638" s="781"/>
      <c r="AQ638" s="781"/>
    </row>
    <row r="639" spans="4:43" ht="33.75" customHeight="1" outlineLevel="1">
      <c r="D639" s="1">
        <v>45</v>
      </c>
      <c r="AB639" s="896" t="e">
        <f>"Утверждено на "&amp;PRD-2&amp;" год  "&amp;ROUND(#REF!,2)&amp;" тыс.руб. Планируемые предприятием расходы на "&amp;PRD&amp;" год "&amp;ROUND(#REF!,2)&amp;" тыс. руб. В соответствии с п.27 Основ ценообразования, расчёт амортизации основных фондов производится по нормам амортизационных отчислений, утверждённым в установленном порядке."</f>
        <v>#REF!</v>
      </c>
      <c r="AC639" s="896"/>
      <c r="AD639" s="896"/>
      <c r="AE639" s="896"/>
      <c r="AF639" s="896"/>
      <c r="AG639" s="896"/>
      <c r="AH639" s="896"/>
      <c r="AI639" s="896"/>
      <c r="AJ639" s="896"/>
      <c r="AK639" s="896"/>
      <c r="AL639" s="896"/>
      <c r="AM639" s="896"/>
      <c r="AN639" s="896"/>
      <c r="AO639" s="896"/>
      <c r="AP639" s="896"/>
      <c r="AQ639" s="896"/>
    </row>
    <row r="640" spans="4:43" ht="33.75" customHeight="1" outlineLevel="1">
      <c r="D640" s="1">
        <v>45</v>
      </c>
      <c r="AB640" s="896" t="str">
        <f>"Для обоснования расходов "&amp;AG27&amp;" представлены копии инвентарных карточек учёта основных средств форма ОС-6, оборотно-сальдовые ведомости по сч.01, сч.02, ведомость амортизации ОС за"&amp;PRD-2&amp;" год, приказы на ввод в эксплуатацию основных средств. "</f>
        <v xml:space="preserve">Для обоснования расходов МУП "Горэлектросети" представлены копии инвентарных карточек учёта основных средств форма ОС-6, оборотно-сальдовые ведомости по сч.01, сч.02, ведомость амортизации ОС за2024 год, приказы на ввод в эксплуатацию основных средств. </v>
      </c>
      <c r="AC640" s="896"/>
      <c r="AD640" s="896"/>
      <c r="AE640" s="896"/>
      <c r="AF640" s="896"/>
      <c r="AG640" s="896"/>
      <c r="AH640" s="896"/>
      <c r="AI640" s="896"/>
      <c r="AJ640" s="896"/>
      <c r="AK640" s="896"/>
      <c r="AL640" s="896"/>
      <c r="AM640" s="896"/>
      <c r="AN640" s="896"/>
      <c r="AO640" s="896"/>
      <c r="AP640" s="896"/>
      <c r="AQ640" s="896"/>
    </row>
    <row r="641" spans="4:43" ht="84" customHeight="1" outlineLevel="1">
      <c r="D641" s="1">
        <v>112</v>
      </c>
      <c r="AB641" s="896" t="s">
        <v>1534</v>
      </c>
      <c r="AC641" s="896"/>
      <c r="AD641" s="896"/>
      <c r="AE641" s="896"/>
      <c r="AF641" s="896"/>
      <c r="AG641" s="896"/>
      <c r="AH641" s="896"/>
      <c r="AI641" s="896"/>
      <c r="AJ641" s="896"/>
      <c r="AK641" s="896"/>
      <c r="AL641" s="896"/>
      <c r="AM641" s="896"/>
      <c r="AN641" s="896"/>
      <c r="AO641" s="896"/>
      <c r="AP641" s="896"/>
      <c r="AQ641" s="896"/>
    </row>
    <row r="642" spans="4:43" ht="27" customHeight="1" outlineLevel="1">
      <c r="D642" s="1">
        <v>36</v>
      </c>
      <c r="AB642" s="896" t="str">
        <f>"Пообъектный расчет амортизации на "&amp;PRD&amp;" год в формате шаблона ENERGY.CALC.NVV.TSO в веб-расширении Амортизация  (Приложение №7 и в приложении к заключению) "</f>
        <v xml:space="preserve">Пообъектный расчет амортизации на 2026 год в формате шаблона ENERGY.CALC.NVV.TSO в веб-расширении Амортизация  (Приложение №7 и в приложении к заключению) </v>
      </c>
      <c r="AC642" s="896"/>
      <c r="AD642" s="896"/>
      <c r="AE642" s="896"/>
      <c r="AF642" s="896"/>
      <c r="AG642" s="896"/>
      <c r="AH642" s="896"/>
      <c r="AI642" s="896"/>
      <c r="AJ642" s="896"/>
      <c r="AK642" s="896"/>
      <c r="AL642" s="896"/>
      <c r="AM642" s="896"/>
      <c r="AN642" s="896"/>
      <c r="AO642" s="896"/>
      <c r="AP642" s="896"/>
      <c r="AQ642" s="896"/>
    </row>
    <row r="643" spans="4:43" ht="33.75" customHeight="1" outlineLevel="1">
      <c r="D643" s="1">
        <v>45</v>
      </c>
      <c r="AB643" s="894"/>
      <c r="AC643" s="894"/>
      <c r="AD643" s="894"/>
      <c r="AE643" s="894"/>
      <c r="AF643" s="894"/>
      <c r="AG643" s="894"/>
      <c r="AH643" s="894"/>
      <c r="AI643" s="894"/>
      <c r="AJ643" s="894"/>
      <c r="AK643" s="894"/>
      <c r="AL643" s="894"/>
      <c r="AM643" s="894"/>
      <c r="AN643" s="894"/>
      <c r="AO643" s="894"/>
      <c r="AP643" s="894"/>
      <c r="AQ643" s="894"/>
    </row>
    <row r="644" spans="4:43" ht="33.75" customHeight="1" outlineLevel="1">
      <c r="D644" s="1">
        <v>45</v>
      </c>
      <c r="AB644" s="894"/>
      <c r="AC644" s="894"/>
      <c r="AD644" s="894"/>
      <c r="AE644" s="894"/>
      <c r="AF644" s="894"/>
      <c r="AG644" s="894"/>
      <c r="AH644" s="894"/>
      <c r="AI644" s="894"/>
      <c r="AJ644" s="894"/>
      <c r="AK644" s="894"/>
      <c r="AL644" s="894"/>
      <c r="AM644" s="894"/>
      <c r="AN644" s="894"/>
      <c r="AO644" s="894"/>
      <c r="AP644" s="894"/>
      <c r="AQ644" s="894"/>
    </row>
    <row r="645" spans="4:43" ht="33.75" customHeight="1" outlineLevel="1">
      <c r="D645" s="1">
        <v>45</v>
      </c>
      <c r="AB645" s="894"/>
      <c r="AC645" s="894"/>
      <c r="AD645" s="894"/>
      <c r="AE645" s="894"/>
      <c r="AF645" s="894"/>
      <c r="AG645" s="894"/>
      <c r="AH645" s="894"/>
      <c r="AI645" s="894"/>
      <c r="AJ645" s="894"/>
      <c r="AK645" s="894"/>
      <c r="AL645" s="894"/>
      <c r="AM645" s="894"/>
      <c r="AN645" s="894"/>
      <c r="AO645" s="894"/>
      <c r="AP645" s="894"/>
      <c r="AQ645" s="894"/>
    </row>
    <row r="646" spans="4:43" ht="33.75" customHeight="1" outlineLevel="1">
      <c r="D646" s="1">
        <v>45</v>
      </c>
      <c r="AB646" s="894"/>
      <c r="AC646" s="894"/>
      <c r="AD646" s="894"/>
      <c r="AE646" s="894"/>
      <c r="AF646" s="894"/>
      <c r="AG646" s="894"/>
      <c r="AH646" s="894"/>
      <c r="AI646" s="894"/>
      <c r="AJ646" s="894"/>
      <c r="AK646" s="894"/>
      <c r="AL646" s="894"/>
      <c r="AM646" s="894"/>
      <c r="AN646" s="894"/>
      <c r="AO646" s="894"/>
      <c r="AP646" s="894"/>
      <c r="AQ646" s="894"/>
    </row>
    <row r="647" spans="4:43" ht="33.75" customHeight="1" outlineLevel="1">
      <c r="D647" s="1">
        <v>45</v>
      </c>
      <c r="AB647" s="896" t="e">
        <f>"Проанализировав представленные для обоснования данной статьи документы, эксперты предлагают считать экономически обоснованной сумму затрат в размере "&amp;ROUND(#REF!,2)&amp;" тыс. руб. "</f>
        <v>#REF!</v>
      </c>
      <c r="AC647" s="896"/>
      <c r="AD647" s="896"/>
      <c r="AE647" s="896"/>
      <c r="AF647" s="896"/>
      <c r="AG647" s="896"/>
      <c r="AH647" s="896"/>
      <c r="AI647" s="896"/>
      <c r="AJ647" s="896"/>
      <c r="AK647" s="896"/>
      <c r="AL647" s="896"/>
      <c r="AM647" s="896"/>
      <c r="AN647" s="896"/>
      <c r="AO647" s="896"/>
      <c r="AP647" s="896"/>
      <c r="AQ647" s="896"/>
    </row>
    <row r="648" spans="4:43" ht="54" customHeight="1" outlineLevel="1">
      <c r="D648" s="1">
        <v>72</v>
      </c>
      <c r="AB648" s="896" t="e">
        <f>"Принимая во внимание вышеизложенные факторы, предложено считать экономически обоснованными неподконтрольные затраты на "&amp;PRD&amp;" год в размере "&amp;ROUND(#REF!,2)&amp;" тыс. руб., "&amp;(IF(#REF!=#REF!,"по предложению организации ",IF(#REF!&lt;#REF!,"что ниже предложенных предприятием на ","что выше предложенных предприятием на "))&amp;ROUND(#REF!-#REF!,2)&amp;" тыс. руб. ("&amp;IF(#REF!=0,0,ROUND(#REF!/#REF!*100,2))&amp;"%). Рост к утверждённым затратам на "&amp;PRD-1&amp;" год составил "&amp;IF(#REF!=0,0,ROUND(#REF!/#REF!,2))&amp;"%. Экономически обоснованными за "&amp;PRD-2&amp;" года экспертами признаются расходы в размере "&amp;ROUND(#REF!,2)&amp;" тыс. руб.")</f>
        <v>#REF!</v>
      </c>
      <c r="AC648" s="896"/>
      <c r="AD648" s="896"/>
      <c r="AE648" s="896"/>
      <c r="AF648" s="896"/>
      <c r="AG648" s="896"/>
      <c r="AH648" s="896"/>
      <c r="AI648" s="896"/>
      <c r="AJ648" s="896"/>
      <c r="AK648" s="896"/>
      <c r="AL648" s="896"/>
      <c r="AM648" s="896"/>
      <c r="AN648" s="896"/>
      <c r="AO648" s="896"/>
      <c r="AP648" s="896"/>
      <c r="AQ648" s="896"/>
    </row>
    <row r="649" spans="4:43" ht="33.75" customHeight="1">
      <c r="D649" s="1">
        <v>45</v>
      </c>
    </row>
    <row r="650" spans="4:43" ht="33.75" customHeight="1" outlineLevel="1">
      <c r="D650" s="1">
        <v>45</v>
      </c>
      <c r="AB650" s="898" t="s">
        <v>1535</v>
      </c>
      <c r="AC650" s="890"/>
      <c r="AD650" s="890"/>
      <c r="AE650" s="890"/>
      <c r="AF650" s="890"/>
      <c r="AG650" s="890"/>
      <c r="AH650" s="890"/>
      <c r="AI650" s="890"/>
      <c r="AJ650" s="890"/>
      <c r="AK650" s="890"/>
      <c r="AL650" s="890"/>
      <c r="AM650" s="890"/>
      <c r="AN650" s="890"/>
      <c r="AO650" s="890"/>
      <c r="AP650" s="890"/>
      <c r="AQ650" s="890"/>
    </row>
    <row r="651" spans="4:43" ht="33.75" customHeight="1" outlineLevel="1">
      <c r="D651" s="1">
        <v>45</v>
      </c>
      <c r="AB65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651" s="894"/>
      <c r="AD651" s="894"/>
      <c r="AE651" s="894"/>
      <c r="AF651" s="894"/>
      <c r="AG651" s="894"/>
      <c r="AH651" s="894"/>
      <c r="AI651" s="894"/>
      <c r="AJ651" s="894"/>
      <c r="AK651" s="894"/>
      <c r="AL651" s="894"/>
      <c r="AM651" s="894"/>
      <c r="AN651" s="894"/>
      <c r="AO651" s="894"/>
      <c r="AP651" s="894"/>
      <c r="AQ651" s="894"/>
    </row>
    <row r="652" spans="4:43" ht="33.75" customHeight="1" outlineLevel="1">
      <c r="D652" s="1">
        <v>45</v>
      </c>
      <c r="AB652" s="894" t="s">
        <v>1530</v>
      </c>
      <c r="AC652" s="894"/>
      <c r="AD652" s="894"/>
      <c r="AE652" s="894"/>
      <c r="AF652" s="894"/>
      <c r="AG652" s="894"/>
      <c r="AH652" s="894"/>
      <c r="AI652" s="894"/>
      <c r="AJ652" s="894"/>
      <c r="AK652" s="894"/>
      <c r="AL652" s="894"/>
      <c r="AM652" s="894"/>
      <c r="AN652" s="894"/>
      <c r="AO652" s="894"/>
      <c r="AP652" s="894"/>
      <c r="AQ652" s="894"/>
    </row>
    <row r="653" spans="4:43" ht="33.75" customHeight="1" outlineLevel="1">
      <c r="D653" s="1">
        <v>45</v>
      </c>
      <c r="AB653" s="894"/>
      <c r="AC653" s="894"/>
      <c r="AD653" s="894"/>
      <c r="AE653" s="894"/>
      <c r="AF653" s="894"/>
      <c r="AG653" s="894"/>
      <c r="AH653" s="894"/>
      <c r="AI653" s="894"/>
      <c r="AJ653" s="894"/>
      <c r="AK653" s="894"/>
      <c r="AL653" s="894"/>
      <c r="AM653" s="894"/>
      <c r="AN653" s="894"/>
      <c r="AO653" s="894"/>
      <c r="AP653" s="894"/>
      <c r="AQ653" s="894"/>
    </row>
    <row r="654" spans="4:43" ht="33.75" customHeight="1" outlineLevel="1">
      <c r="D654" s="1">
        <v>45</v>
      </c>
      <c r="AB654" s="894"/>
      <c r="AC654" s="894"/>
      <c r="AD654" s="894"/>
      <c r="AE654" s="894"/>
      <c r="AF654" s="894"/>
      <c r="AG654" s="894"/>
      <c r="AH654" s="894"/>
      <c r="AI654" s="894"/>
      <c r="AJ654" s="894"/>
      <c r="AK654" s="894"/>
      <c r="AL654" s="894"/>
      <c r="AM654" s="894"/>
      <c r="AN654" s="894"/>
      <c r="AO654" s="894"/>
      <c r="AP654" s="894"/>
      <c r="AQ654" s="894"/>
    </row>
    <row r="655" spans="4:43" ht="33.75" customHeight="1" outlineLevel="1">
      <c r="D655" s="1">
        <v>45</v>
      </c>
      <c r="AB655" s="894"/>
      <c r="AC655" s="894"/>
      <c r="AD655" s="894"/>
      <c r="AE655" s="894"/>
      <c r="AF655" s="894"/>
      <c r="AG655" s="894"/>
      <c r="AH655" s="894"/>
      <c r="AI655" s="894"/>
      <c r="AJ655" s="894"/>
      <c r="AK655" s="894"/>
      <c r="AL655" s="894"/>
      <c r="AM655" s="894"/>
      <c r="AN655" s="894"/>
      <c r="AO655" s="894"/>
      <c r="AP655" s="894"/>
      <c r="AQ655" s="894"/>
    </row>
    <row r="656" spans="4:43" ht="33.75" customHeight="1" outlineLevel="1">
      <c r="D656" s="1">
        <v>45</v>
      </c>
      <c r="AB656" s="894" t="e">
        <f>"Экспертами принято решение признать экономически обоснованными расходы на "&amp;PRD&amp;" год в размере "&amp;ROUND(#REF!,2)&amp;" тыс. руб."</f>
        <v>#REF!</v>
      </c>
      <c r="AC656" s="894"/>
      <c r="AD656" s="894"/>
      <c r="AE656" s="894"/>
      <c r="AF656" s="894"/>
      <c r="AG656" s="894"/>
      <c r="AH656" s="894"/>
      <c r="AI656" s="894"/>
      <c r="AJ656" s="894"/>
      <c r="AK656" s="894"/>
      <c r="AL656" s="894"/>
      <c r="AM656" s="894"/>
      <c r="AN656" s="894"/>
      <c r="AO656" s="894"/>
      <c r="AP656" s="894"/>
      <c r="AQ656" s="894"/>
    </row>
    <row r="657" spans="4:43" ht="33.75" customHeight="1" outlineLevel="1">
      <c r="D657" s="1">
        <v>45</v>
      </c>
      <c r="AB657" s="894"/>
      <c r="AC657" s="894"/>
      <c r="AD657" s="894"/>
      <c r="AE657" s="894"/>
      <c r="AF657" s="894"/>
      <c r="AG657" s="894"/>
      <c r="AH657" s="894"/>
      <c r="AI657" s="894"/>
      <c r="AJ657" s="894"/>
      <c r="AK657" s="894"/>
      <c r="AL657" s="894"/>
      <c r="AM657" s="894"/>
      <c r="AN657" s="894"/>
      <c r="AO657" s="894"/>
      <c r="AP657" s="894"/>
      <c r="AQ657" s="894"/>
    </row>
    <row r="658" spans="4:43" ht="33.75" customHeight="1" outlineLevel="1">
      <c r="D658" s="1">
        <v>45</v>
      </c>
      <c r="AB658" s="894"/>
      <c r="AC658" s="894"/>
      <c r="AD658" s="894"/>
      <c r="AE658" s="894"/>
      <c r="AF658" s="894"/>
      <c r="AG658" s="894"/>
      <c r="AH658" s="894"/>
      <c r="AI658" s="894"/>
      <c r="AJ658" s="894"/>
      <c r="AK658" s="894"/>
      <c r="AL658" s="894"/>
      <c r="AM658" s="894"/>
      <c r="AN658" s="894"/>
      <c r="AO658" s="894"/>
      <c r="AP658" s="894"/>
      <c r="AQ658" s="894"/>
    </row>
    <row r="659" spans="4:43" ht="28.5" hidden="1" customHeight="1">
      <c r="D659" s="1">
        <v>0</v>
      </c>
      <c r="AB659" s="890"/>
      <c r="AC659" s="890"/>
      <c r="AD659" s="890"/>
      <c r="AE659" s="890"/>
      <c r="AF659" s="890"/>
      <c r="AG659" s="890"/>
      <c r="AH659" s="890"/>
      <c r="AI659" s="890"/>
      <c r="AJ659" s="890"/>
      <c r="AK659" s="890"/>
      <c r="AL659" s="890"/>
      <c r="AM659" s="890"/>
      <c r="AN659" s="890"/>
      <c r="AO659" s="890"/>
      <c r="AP659" s="890"/>
      <c r="AQ659" s="890"/>
    </row>
    <row r="660" spans="4:43" ht="33.75" customHeight="1" outlineLevel="1">
      <c r="D660" s="1">
        <v>45</v>
      </c>
      <c r="AB660" s="898" t="s">
        <v>1536</v>
      </c>
      <c r="AC660" s="890"/>
      <c r="AD660" s="890"/>
      <c r="AE660" s="890"/>
      <c r="AF660" s="890"/>
      <c r="AG660" s="890"/>
      <c r="AH660" s="890"/>
      <c r="AI660" s="890"/>
      <c r="AJ660" s="890"/>
      <c r="AK660" s="890"/>
      <c r="AL660" s="890"/>
      <c r="AM660" s="890"/>
      <c r="AN660" s="890"/>
      <c r="AO660" s="890"/>
      <c r="AP660" s="890"/>
      <c r="AQ660" s="890"/>
    </row>
    <row r="661" spans="4:43" ht="33.75" customHeight="1" outlineLevel="1">
      <c r="D661" s="1">
        <v>45</v>
      </c>
      <c r="AB66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661" s="894"/>
      <c r="AD661" s="894"/>
      <c r="AE661" s="894"/>
      <c r="AF661" s="894"/>
      <c r="AG661" s="894"/>
      <c r="AH661" s="894"/>
      <c r="AI661" s="894"/>
      <c r="AJ661" s="894"/>
      <c r="AK661" s="894"/>
      <c r="AL661" s="894"/>
      <c r="AM661" s="894"/>
      <c r="AN661" s="894"/>
      <c r="AO661" s="894"/>
      <c r="AP661" s="894"/>
      <c r="AQ661" s="894"/>
    </row>
    <row r="662" spans="4:43" ht="33.75" customHeight="1" outlineLevel="1">
      <c r="D662" s="1">
        <v>45</v>
      </c>
      <c r="AB662" s="894" t="s">
        <v>1530</v>
      </c>
      <c r="AC662" s="894"/>
      <c r="AD662" s="894"/>
      <c r="AE662" s="894"/>
      <c r="AF662" s="894"/>
      <c r="AG662" s="894"/>
      <c r="AH662" s="894"/>
      <c r="AI662" s="894"/>
      <c r="AJ662" s="894"/>
      <c r="AK662" s="894"/>
      <c r="AL662" s="894"/>
      <c r="AM662" s="894"/>
      <c r="AN662" s="894"/>
      <c r="AO662" s="894"/>
      <c r="AP662" s="894"/>
      <c r="AQ662" s="894"/>
    </row>
    <row r="663" spans="4:43" ht="33.75" customHeight="1" outlineLevel="1">
      <c r="D663" s="1">
        <v>45</v>
      </c>
      <c r="AB663" s="894"/>
      <c r="AC663" s="894"/>
      <c r="AD663" s="894"/>
      <c r="AE663" s="894"/>
      <c r="AF663" s="894"/>
      <c r="AG663" s="894"/>
      <c r="AH663" s="894"/>
      <c r="AI663" s="894"/>
      <c r="AJ663" s="894"/>
      <c r="AK663" s="894"/>
      <c r="AL663" s="894"/>
      <c r="AM663" s="894"/>
      <c r="AN663" s="894"/>
      <c r="AO663" s="894"/>
      <c r="AP663" s="894"/>
      <c r="AQ663" s="894"/>
    </row>
    <row r="664" spans="4:43" ht="33.75" customHeight="1" outlineLevel="1">
      <c r="D664" s="1">
        <v>45</v>
      </c>
      <c r="AB664" s="894"/>
      <c r="AC664" s="894"/>
      <c r="AD664" s="894"/>
      <c r="AE664" s="894"/>
      <c r="AF664" s="894"/>
      <c r="AG664" s="894"/>
      <c r="AH664" s="894"/>
      <c r="AI664" s="894"/>
      <c r="AJ664" s="894"/>
      <c r="AK664" s="894"/>
      <c r="AL664" s="894"/>
      <c r="AM664" s="894"/>
      <c r="AN664" s="894"/>
      <c r="AO664" s="894"/>
      <c r="AP664" s="894"/>
      <c r="AQ664" s="894"/>
    </row>
    <row r="665" spans="4:43" ht="33.75" customHeight="1" outlineLevel="1">
      <c r="D665" s="1">
        <v>45</v>
      </c>
      <c r="AB665" s="894"/>
      <c r="AC665" s="894"/>
      <c r="AD665" s="894"/>
      <c r="AE665" s="894"/>
      <c r="AF665" s="894"/>
      <c r="AG665" s="894"/>
      <c r="AH665" s="894"/>
      <c r="AI665" s="894"/>
      <c r="AJ665" s="894"/>
      <c r="AK665" s="894"/>
      <c r="AL665" s="894"/>
      <c r="AM665" s="894"/>
      <c r="AN665" s="894"/>
      <c r="AO665" s="894"/>
      <c r="AP665" s="894"/>
      <c r="AQ665" s="894"/>
    </row>
    <row r="666" spans="4:43" ht="33.75" customHeight="1" outlineLevel="1">
      <c r="D666" s="1">
        <v>45</v>
      </c>
      <c r="AB666" s="894" t="e">
        <f>"Экспертами принято решение признать экономически обоснованными расходы на "&amp;PRD&amp;" год в размере "&amp;ROUND(#REF!,2)&amp;" тыс. руб."</f>
        <v>#REF!</v>
      </c>
      <c r="AC666" s="894"/>
      <c r="AD666" s="894"/>
      <c r="AE666" s="894"/>
      <c r="AF666" s="894"/>
      <c r="AG666" s="894"/>
      <c r="AH666" s="894"/>
      <c r="AI666" s="894"/>
      <c r="AJ666" s="894"/>
      <c r="AK666" s="894"/>
      <c r="AL666" s="894"/>
      <c r="AM666" s="894"/>
      <c r="AN666" s="894"/>
      <c r="AO666" s="894"/>
      <c r="AP666" s="894"/>
      <c r="AQ666" s="894"/>
    </row>
    <row r="667" spans="4:43" ht="33.75" customHeight="1" outlineLevel="1">
      <c r="D667" s="1">
        <v>45</v>
      </c>
      <c r="AB667" s="894"/>
      <c r="AC667" s="894"/>
      <c r="AD667" s="894"/>
      <c r="AE667" s="894"/>
      <c r="AF667" s="894"/>
      <c r="AG667" s="894"/>
      <c r="AH667" s="894"/>
      <c r="AI667" s="894"/>
      <c r="AJ667" s="894"/>
      <c r="AK667" s="894"/>
      <c r="AL667" s="894"/>
      <c r="AM667" s="894"/>
      <c r="AN667" s="894"/>
      <c r="AO667" s="894"/>
      <c r="AP667" s="894"/>
      <c r="AQ667" s="894"/>
    </row>
    <row r="668" spans="4:43" ht="33.75" customHeight="1" outlineLevel="1">
      <c r="D668" s="1">
        <v>45</v>
      </c>
      <c r="AB668" s="894"/>
      <c r="AC668" s="894"/>
      <c r="AD668" s="894"/>
      <c r="AE668" s="894"/>
      <c r="AF668" s="894"/>
      <c r="AG668" s="894"/>
      <c r="AH668" s="894"/>
      <c r="AI668" s="894"/>
      <c r="AJ668" s="894"/>
      <c r="AK668" s="894"/>
      <c r="AL668" s="894"/>
      <c r="AM668" s="894"/>
      <c r="AN668" s="894"/>
      <c r="AO668" s="894"/>
      <c r="AP668" s="894"/>
      <c r="AQ668" s="894"/>
    </row>
    <row r="669" spans="4:43" ht="28.5" hidden="1" customHeight="1">
      <c r="D669" s="1">
        <v>0</v>
      </c>
      <c r="AB669" s="890"/>
      <c r="AC669" s="890"/>
      <c r="AD669" s="890"/>
      <c r="AE669" s="890"/>
      <c r="AF669" s="890"/>
      <c r="AG669" s="890"/>
      <c r="AH669" s="890"/>
      <c r="AI669" s="890"/>
      <c r="AJ669" s="890"/>
      <c r="AK669" s="890"/>
      <c r="AL669" s="890"/>
      <c r="AM669" s="890"/>
      <c r="AN669" s="890"/>
      <c r="AO669" s="890"/>
      <c r="AP669" s="890"/>
      <c r="AQ669" s="890"/>
    </row>
    <row r="670" spans="4:43" ht="33.75" customHeight="1" outlineLevel="1">
      <c r="D670" s="1">
        <v>45</v>
      </c>
      <c r="AB670" s="898" t="s">
        <v>1537</v>
      </c>
      <c r="AC670" s="890"/>
      <c r="AD670" s="890"/>
      <c r="AE670" s="890"/>
      <c r="AF670" s="890"/>
      <c r="AG670" s="890"/>
      <c r="AH670" s="890"/>
      <c r="AI670" s="890"/>
      <c r="AJ670" s="890"/>
      <c r="AK670" s="890"/>
      <c r="AL670" s="890"/>
      <c r="AM670" s="890"/>
      <c r="AN670" s="890"/>
      <c r="AO670" s="890"/>
      <c r="AP670" s="890"/>
      <c r="AQ670" s="890"/>
    </row>
    <row r="671" spans="4:43" ht="33.75" customHeight="1" outlineLevel="1">
      <c r="D671" s="1">
        <v>45</v>
      </c>
      <c r="AB67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671" s="894"/>
      <c r="AD671" s="894"/>
      <c r="AE671" s="894"/>
      <c r="AF671" s="894"/>
      <c r="AG671" s="894"/>
      <c r="AH671" s="894"/>
      <c r="AI671" s="894"/>
      <c r="AJ671" s="894"/>
      <c r="AK671" s="894"/>
      <c r="AL671" s="894"/>
      <c r="AM671" s="894"/>
      <c r="AN671" s="894"/>
      <c r="AO671" s="894"/>
      <c r="AP671" s="894"/>
      <c r="AQ671" s="894"/>
    </row>
    <row r="672" spans="4:43" ht="33.75" customHeight="1" outlineLevel="1">
      <c r="D672" s="1">
        <v>45</v>
      </c>
      <c r="AB672" s="894" t="s">
        <v>1538</v>
      </c>
      <c r="AC672" s="894"/>
      <c r="AD672" s="894"/>
      <c r="AE672" s="894"/>
      <c r="AF672" s="894"/>
      <c r="AG672" s="894"/>
      <c r="AH672" s="894"/>
      <c r="AI672" s="894"/>
      <c r="AJ672" s="894"/>
      <c r="AK672" s="894"/>
      <c r="AL672" s="894"/>
      <c r="AM672" s="894"/>
      <c r="AN672" s="894"/>
      <c r="AO672" s="894"/>
      <c r="AP672" s="894"/>
      <c r="AQ672" s="894"/>
    </row>
    <row r="673" spans="4:43" ht="33.75" customHeight="1" outlineLevel="1">
      <c r="D673" s="1">
        <v>45</v>
      </c>
      <c r="AB673" s="894"/>
      <c r="AC673" s="894"/>
      <c r="AD673" s="894"/>
      <c r="AE673" s="894"/>
      <c r="AF673" s="894"/>
      <c r="AG673" s="894"/>
      <c r="AH673" s="894"/>
      <c r="AI673" s="894"/>
      <c r="AJ673" s="894"/>
      <c r="AK673" s="894"/>
      <c r="AL673" s="894"/>
      <c r="AM673" s="894"/>
      <c r="AN673" s="894"/>
      <c r="AO673" s="894"/>
      <c r="AP673" s="894"/>
      <c r="AQ673" s="894"/>
    </row>
    <row r="674" spans="4:43" ht="33.75" customHeight="1" outlineLevel="1">
      <c r="D674" s="1">
        <v>45</v>
      </c>
      <c r="AB674" s="894"/>
      <c r="AC674" s="894"/>
      <c r="AD674" s="894"/>
      <c r="AE674" s="894"/>
      <c r="AF674" s="894"/>
      <c r="AG674" s="894"/>
      <c r="AH674" s="894"/>
      <c r="AI674" s="894"/>
      <c r="AJ674" s="894"/>
      <c r="AK674" s="894"/>
      <c r="AL674" s="894"/>
      <c r="AM674" s="894"/>
      <c r="AN674" s="894"/>
      <c r="AO674" s="894"/>
      <c r="AP674" s="894"/>
      <c r="AQ674" s="894"/>
    </row>
    <row r="675" spans="4:43" ht="33.75" customHeight="1" outlineLevel="1">
      <c r="D675" s="1">
        <v>45</v>
      </c>
      <c r="AB675" s="894"/>
      <c r="AC675" s="894"/>
      <c r="AD675" s="894"/>
      <c r="AE675" s="894"/>
      <c r="AF675" s="894"/>
      <c r="AG675" s="894"/>
      <c r="AH675" s="894"/>
      <c r="AI675" s="894"/>
      <c r="AJ675" s="894"/>
      <c r="AK675" s="894"/>
      <c r="AL675" s="894"/>
      <c r="AM675" s="894"/>
      <c r="AN675" s="894"/>
      <c r="AO675" s="894"/>
      <c r="AP675" s="894"/>
      <c r="AQ675" s="894"/>
    </row>
    <row r="676" spans="4:43" ht="33.75" customHeight="1" outlineLevel="1">
      <c r="D676" s="1">
        <v>45</v>
      </c>
      <c r="AB676" s="894" t="e">
        <f>"Экспертами принято решение признать экономически обоснованными расходы на "&amp;PRD&amp;" год в размере "&amp;ROUND(#REF!,2)&amp;" тыс. руб."</f>
        <v>#REF!</v>
      </c>
      <c r="AC676" s="894"/>
      <c r="AD676" s="894"/>
      <c r="AE676" s="894"/>
      <c r="AF676" s="894"/>
      <c r="AG676" s="894"/>
      <c r="AH676" s="894"/>
      <c r="AI676" s="894"/>
      <c r="AJ676" s="894"/>
      <c r="AK676" s="894"/>
      <c r="AL676" s="894"/>
      <c r="AM676" s="894"/>
      <c r="AN676" s="894"/>
      <c r="AO676" s="894"/>
      <c r="AP676" s="894"/>
      <c r="AQ676" s="894"/>
    </row>
    <row r="677" spans="4:43" ht="33.75" customHeight="1" outlineLevel="1">
      <c r="D677" s="1">
        <v>45</v>
      </c>
      <c r="AB677" s="894"/>
      <c r="AC677" s="894"/>
      <c r="AD677" s="894"/>
      <c r="AE677" s="894"/>
      <c r="AF677" s="894"/>
      <c r="AG677" s="894"/>
      <c r="AH677" s="894"/>
      <c r="AI677" s="894"/>
      <c r="AJ677" s="894"/>
      <c r="AK677" s="894"/>
      <c r="AL677" s="894"/>
      <c r="AM677" s="894"/>
      <c r="AN677" s="894"/>
      <c r="AO677" s="894"/>
      <c r="AP677" s="894"/>
      <c r="AQ677" s="894"/>
    </row>
    <row r="678" spans="4:43" ht="33.75" customHeight="1" outlineLevel="1">
      <c r="D678" s="1">
        <v>45</v>
      </c>
      <c r="AB678" s="894"/>
      <c r="AC678" s="894"/>
      <c r="AD678" s="894"/>
      <c r="AE678" s="894"/>
      <c r="AF678" s="894"/>
      <c r="AG678" s="894"/>
      <c r="AH678" s="894"/>
      <c r="AI678" s="894"/>
      <c r="AJ678" s="894"/>
      <c r="AK678" s="894"/>
      <c r="AL678" s="894"/>
      <c r="AM678" s="894"/>
      <c r="AN678" s="894"/>
      <c r="AO678" s="894"/>
      <c r="AP678" s="894"/>
      <c r="AQ678" s="894"/>
    </row>
    <row r="679" spans="4:43" ht="28.5" hidden="1" customHeight="1">
      <c r="D679" s="1">
        <v>0</v>
      </c>
      <c r="AB679" s="890"/>
      <c r="AC679" s="890"/>
      <c r="AD679" s="890"/>
      <c r="AE679" s="890"/>
      <c r="AF679" s="890"/>
      <c r="AG679" s="890"/>
      <c r="AH679" s="890"/>
      <c r="AI679" s="890"/>
      <c r="AJ679" s="890"/>
      <c r="AK679" s="890"/>
      <c r="AL679" s="890"/>
      <c r="AM679" s="890"/>
      <c r="AN679" s="890"/>
      <c r="AO679" s="890"/>
      <c r="AP679" s="890"/>
      <c r="AQ679" s="890"/>
    </row>
    <row r="680" spans="4:43" ht="36" customHeight="1" outlineLevel="1">
      <c r="D680" s="1">
        <v>48</v>
      </c>
      <c r="AB680" s="898" t="s">
        <v>1539</v>
      </c>
      <c r="AC680" s="890"/>
      <c r="AD680" s="890"/>
      <c r="AE680" s="890"/>
      <c r="AF680" s="890"/>
      <c r="AG680" s="890"/>
      <c r="AH680" s="890"/>
      <c r="AI680" s="890"/>
      <c r="AJ680" s="890"/>
      <c r="AK680" s="890"/>
      <c r="AL680" s="890"/>
      <c r="AM680" s="890"/>
      <c r="AN680" s="890"/>
      <c r="AO680" s="890"/>
      <c r="AP680" s="890"/>
      <c r="AQ680" s="890"/>
    </row>
    <row r="681" spans="4:43" ht="33.75" customHeight="1" outlineLevel="1">
      <c r="D681" s="1">
        <v>45</v>
      </c>
      <c r="AB68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681" s="894"/>
      <c r="AD681" s="894"/>
      <c r="AE681" s="894"/>
      <c r="AF681" s="894"/>
      <c r="AG681" s="894"/>
      <c r="AH681" s="894"/>
      <c r="AI681" s="894"/>
      <c r="AJ681" s="894"/>
      <c r="AK681" s="894"/>
      <c r="AL681" s="894"/>
      <c r="AM681" s="894"/>
      <c r="AN681" s="894"/>
      <c r="AO681" s="894"/>
      <c r="AP681" s="894"/>
      <c r="AQ681" s="894"/>
    </row>
    <row r="682" spans="4:43" ht="33.75" customHeight="1" outlineLevel="1">
      <c r="D682" s="1">
        <v>45</v>
      </c>
      <c r="AB682" s="894" t="s">
        <v>1530</v>
      </c>
      <c r="AC682" s="894"/>
      <c r="AD682" s="894"/>
      <c r="AE682" s="894"/>
      <c r="AF682" s="894"/>
      <c r="AG682" s="894"/>
      <c r="AH682" s="894"/>
      <c r="AI682" s="894"/>
      <c r="AJ682" s="894"/>
      <c r="AK682" s="894"/>
      <c r="AL682" s="894"/>
      <c r="AM682" s="894"/>
      <c r="AN682" s="894"/>
      <c r="AO682" s="894"/>
      <c r="AP682" s="894"/>
      <c r="AQ682" s="894"/>
    </row>
    <row r="683" spans="4:43" ht="33.75" customHeight="1" outlineLevel="1">
      <c r="D683" s="1">
        <v>45</v>
      </c>
      <c r="AB683" s="894"/>
      <c r="AC683" s="894"/>
      <c r="AD683" s="894"/>
      <c r="AE683" s="894"/>
      <c r="AF683" s="894"/>
      <c r="AG683" s="894"/>
      <c r="AH683" s="894"/>
      <c r="AI683" s="894"/>
      <c r="AJ683" s="894"/>
      <c r="AK683" s="894"/>
      <c r="AL683" s="894"/>
      <c r="AM683" s="894"/>
      <c r="AN683" s="894"/>
      <c r="AO683" s="894"/>
      <c r="AP683" s="894"/>
      <c r="AQ683" s="894"/>
    </row>
    <row r="684" spans="4:43" ht="33.75" customHeight="1" outlineLevel="1">
      <c r="D684" s="1">
        <v>45</v>
      </c>
      <c r="AB684" s="894"/>
      <c r="AC684" s="894"/>
      <c r="AD684" s="894"/>
      <c r="AE684" s="894"/>
      <c r="AF684" s="894"/>
      <c r="AG684" s="894"/>
      <c r="AH684" s="894"/>
      <c r="AI684" s="894"/>
      <c r="AJ684" s="894"/>
      <c r="AK684" s="894"/>
      <c r="AL684" s="894"/>
      <c r="AM684" s="894"/>
      <c r="AN684" s="894"/>
      <c r="AO684" s="894"/>
      <c r="AP684" s="894"/>
      <c r="AQ684" s="894"/>
    </row>
    <row r="685" spans="4:43" ht="33.75" customHeight="1" outlineLevel="1">
      <c r="D685" s="1">
        <v>45</v>
      </c>
      <c r="AB685" s="894"/>
      <c r="AC685" s="894"/>
      <c r="AD685" s="894"/>
      <c r="AE685" s="894"/>
      <c r="AF685" s="894"/>
      <c r="AG685" s="894"/>
      <c r="AH685" s="894"/>
      <c r="AI685" s="894"/>
      <c r="AJ685" s="894"/>
      <c r="AK685" s="894"/>
      <c r="AL685" s="894"/>
      <c r="AM685" s="894"/>
      <c r="AN685" s="894"/>
      <c r="AO685" s="894"/>
      <c r="AP685" s="894"/>
      <c r="AQ685" s="894"/>
    </row>
    <row r="686" spans="4:43" ht="33.75" customHeight="1" outlineLevel="1">
      <c r="D686" s="1">
        <v>45</v>
      </c>
      <c r="AB686" s="894" t="e">
        <f>"Экспертами принято решение признать экономически обоснованными расходы на "&amp;PRD&amp;" год в размере "&amp;ROUND(#REF!,2)&amp;" тыс. руб."</f>
        <v>#REF!</v>
      </c>
      <c r="AC686" s="894"/>
      <c r="AD686" s="894"/>
      <c r="AE686" s="894"/>
      <c r="AF686" s="894"/>
      <c r="AG686" s="894"/>
      <c r="AH686" s="894"/>
      <c r="AI686" s="894"/>
      <c r="AJ686" s="894"/>
      <c r="AK686" s="894"/>
      <c r="AL686" s="894"/>
      <c r="AM686" s="894"/>
      <c r="AN686" s="894"/>
      <c r="AO686" s="894"/>
      <c r="AP686" s="894"/>
      <c r="AQ686" s="894"/>
    </row>
    <row r="687" spans="4:43" ht="33.75" customHeight="1" outlineLevel="1">
      <c r="D687" s="1">
        <v>45</v>
      </c>
      <c r="AB687" s="894"/>
      <c r="AC687" s="894"/>
      <c r="AD687" s="894"/>
      <c r="AE687" s="894"/>
      <c r="AF687" s="894"/>
      <c r="AG687" s="894"/>
      <c r="AH687" s="894"/>
      <c r="AI687" s="894"/>
      <c r="AJ687" s="894"/>
      <c r="AK687" s="894"/>
      <c r="AL687" s="894"/>
      <c r="AM687" s="894"/>
      <c r="AN687" s="894"/>
      <c r="AO687" s="894"/>
      <c r="AP687" s="894"/>
      <c r="AQ687" s="894"/>
    </row>
    <row r="688" spans="4:43" ht="33.75" customHeight="1" outlineLevel="1">
      <c r="D688" s="1">
        <v>45</v>
      </c>
      <c r="AB688" s="894"/>
      <c r="AC688" s="894"/>
      <c r="AD688" s="894"/>
      <c r="AE688" s="894"/>
      <c r="AF688" s="894"/>
      <c r="AG688" s="894"/>
      <c r="AH688" s="894"/>
      <c r="AI688" s="894"/>
      <c r="AJ688" s="894"/>
      <c r="AK688" s="894"/>
      <c r="AL688" s="894"/>
      <c r="AM688" s="894"/>
      <c r="AN688" s="894"/>
      <c r="AO688" s="894"/>
      <c r="AP688" s="894"/>
      <c r="AQ688" s="894"/>
    </row>
    <row r="689" spans="4:43" ht="28.5" hidden="1" customHeight="1">
      <c r="D689" s="1">
        <v>0</v>
      </c>
      <c r="AB689" s="890"/>
      <c r="AC689" s="890"/>
      <c r="AD689" s="890"/>
      <c r="AE689" s="890"/>
      <c r="AF689" s="890"/>
      <c r="AG689" s="890"/>
      <c r="AH689" s="890"/>
      <c r="AI689" s="890"/>
      <c r="AJ689" s="890"/>
      <c r="AK689" s="890"/>
      <c r="AL689" s="890"/>
      <c r="AM689" s="890"/>
      <c r="AN689" s="890"/>
      <c r="AO689" s="890"/>
      <c r="AP689" s="890"/>
      <c r="AQ689" s="890"/>
    </row>
    <row r="690" spans="4:43" ht="33.75" customHeight="1" outlineLevel="1">
      <c r="D690" s="1">
        <v>45</v>
      </c>
      <c r="AB690" s="898" t="s">
        <v>1540</v>
      </c>
      <c r="AC690" s="890"/>
      <c r="AD690" s="890"/>
      <c r="AE690" s="890"/>
      <c r="AF690" s="890"/>
      <c r="AG690" s="890"/>
      <c r="AH690" s="890"/>
      <c r="AI690" s="890"/>
      <c r="AJ690" s="890"/>
      <c r="AK690" s="890"/>
      <c r="AL690" s="890"/>
      <c r="AM690" s="890"/>
      <c r="AN690" s="890"/>
      <c r="AO690" s="890"/>
      <c r="AP690" s="890"/>
      <c r="AQ690" s="890"/>
    </row>
    <row r="691" spans="4:43" ht="33.75" customHeight="1" outlineLevel="1">
      <c r="D691" s="1">
        <v>45</v>
      </c>
      <c r="AB691" s="894" t="e">
        <f>"Планируемый организацией размер расходов по данной статье, включаемых в необходимую валовую выручку на "&amp;PRD&amp;" год, составляет "&amp;ROUND(#REF!,2)&amp;" тыс. руб. "</f>
        <v>#REF!</v>
      </c>
      <c r="AC691" s="894"/>
      <c r="AD691" s="894"/>
      <c r="AE691" s="894"/>
      <c r="AF691" s="894"/>
      <c r="AG691" s="894"/>
      <c r="AH691" s="894"/>
      <c r="AI691" s="894"/>
      <c r="AJ691" s="894"/>
      <c r="AK691" s="894"/>
      <c r="AL691" s="894"/>
      <c r="AM691" s="894"/>
      <c r="AN691" s="894"/>
      <c r="AO691" s="894"/>
      <c r="AP691" s="894"/>
      <c r="AQ691" s="894"/>
    </row>
    <row r="692" spans="4:43" ht="33.75" customHeight="1" outlineLevel="1">
      <c r="D692" s="1">
        <v>45</v>
      </c>
      <c r="AB692" s="894" t="s">
        <v>1530</v>
      </c>
      <c r="AC692" s="894"/>
      <c r="AD692" s="894"/>
      <c r="AE692" s="894"/>
      <c r="AF692" s="894"/>
      <c r="AG692" s="894"/>
      <c r="AH692" s="894"/>
      <c r="AI692" s="894"/>
      <c r="AJ692" s="894"/>
      <c r="AK692" s="894"/>
      <c r="AL692" s="894"/>
      <c r="AM692" s="894"/>
      <c r="AN692" s="894"/>
      <c r="AO692" s="894"/>
      <c r="AP692" s="894"/>
      <c r="AQ692" s="894"/>
    </row>
    <row r="693" spans="4:43" ht="33.75" customHeight="1" outlineLevel="1">
      <c r="D693" s="1">
        <v>45</v>
      </c>
      <c r="AB693" s="894"/>
      <c r="AC693" s="894"/>
      <c r="AD693" s="894"/>
      <c r="AE693" s="894"/>
      <c r="AF693" s="894"/>
      <c r="AG693" s="894"/>
      <c r="AH693" s="894"/>
      <c r="AI693" s="894"/>
      <c r="AJ693" s="894"/>
      <c r="AK693" s="894"/>
      <c r="AL693" s="894"/>
      <c r="AM693" s="894"/>
      <c r="AN693" s="894"/>
      <c r="AO693" s="894"/>
      <c r="AP693" s="894"/>
      <c r="AQ693" s="894"/>
    </row>
    <row r="694" spans="4:43" ht="33.75" customHeight="1" outlineLevel="1">
      <c r="D694" s="1">
        <v>45</v>
      </c>
      <c r="AB694" s="894"/>
      <c r="AC694" s="894"/>
      <c r="AD694" s="894"/>
      <c r="AE694" s="894"/>
      <c r="AF694" s="894"/>
      <c r="AG694" s="894"/>
      <c r="AH694" s="894"/>
      <c r="AI694" s="894"/>
      <c r="AJ694" s="894"/>
      <c r="AK694" s="894"/>
      <c r="AL694" s="894"/>
      <c r="AM694" s="894"/>
      <c r="AN694" s="894"/>
      <c r="AO694" s="894"/>
      <c r="AP694" s="894"/>
      <c r="AQ694" s="894"/>
    </row>
    <row r="695" spans="4:43" ht="33.75" customHeight="1" outlineLevel="1">
      <c r="D695" s="1">
        <v>45</v>
      </c>
      <c r="AB695" s="894"/>
      <c r="AC695" s="894"/>
      <c r="AD695" s="894"/>
      <c r="AE695" s="894"/>
      <c r="AF695" s="894"/>
      <c r="AG695" s="894"/>
      <c r="AH695" s="894"/>
      <c r="AI695" s="894"/>
      <c r="AJ695" s="894"/>
      <c r="AK695" s="894"/>
      <c r="AL695" s="894"/>
      <c r="AM695" s="894"/>
      <c r="AN695" s="894"/>
      <c r="AO695" s="894"/>
      <c r="AP695" s="894"/>
      <c r="AQ695" s="894"/>
    </row>
    <row r="696" spans="4:43" ht="33.75" customHeight="1" outlineLevel="1">
      <c r="D696" s="1">
        <v>45</v>
      </c>
      <c r="AB696" s="894" t="e">
        <f>"Экспертами принято решение признать экономически обоснованными расходы на "&amp;PRD&amp;" год в размере "&amp;ROUND(#REF!,2)&amp;" тыс. руб."</f>
        <v>#REF!</v>
      </c>
      <c r="AC696" s="894"/>
      <c r="AD696" s="894"/>
      <c r="AE696" s="894"/>
      <c r="AF696" s="894"/>
      <c r="AG696" s="894"/>
      <c r="AH696" s="894"/>
      <c r="AI696" s="894"/>
      <c r="AJ696" s="894"/>
      <c r="AK696" s="894"/>
      <c r="AL696" s="894"/>
      <c r="AM696" s="894"/>
      <c r="AN696" s="894"/>
      <c r="AO696" s="894"/>
      <c r="AP696" s="894"/>
      <c r="AQ696" s="894"/>
    </row>
    <row r="697" spans="4:43" ht="33.75" customHeight="1" outlineLevel="1">
      <c r="D697" s="1">
        <v>45</v>
      </c>
      <c r="AB697" s="894"/>
      <c r="AC697" s="894"/>
      <c r="AD697" s="894"/>
      <c r="AE697" s="894"/>
      <c r="AF697" s="894"/>
      <c r="AG697" s="894"/>
      <c r="AH697" s="894"/>
      <c r="AI697" s="894"/>
      <c r="AJ697" s="894"/>
      <c r="AK697" s="894"/>
      <c r="AL697" s="894"/>
      <c r="AM697" s="894"/>
      <c r="AN697" s="894"/>
      <c r="AO697" s="894"/>
      <c r="AP697" s="894"/>
      <c r="AQ697" s="894"/>
    </row>
    <row r="698" spans="4:43" ht="33.75" customHeight="1" outlineLevel="1">
      <c r="D698" s="1">
        <v>45</v>
      </c>
      <c r="AB698" s="894"/>
      <c r="AC698" s="894"/>
      <c r="AD698" s="894"/>
      <c r="AE698" s="894"/>
      <c r="AF698" s="894"/>
      <c r="AG698" s="894"/>
      <c r="AH698" s="894"/>
      <c r="AI698" s="894"/>
      <c r="AJ698" s="894"/>
      <c r="AK698" s="894"/>
      <c r="AL698" s="894"/>
      <c r="AM698" s="894"/>
      <c r="AN698" s="894"/>
      <c r="AO698" s="894"/>
      <c r="AP698" s="894"/>
      <c r="AQ698" s="894"/>
    </row>
    <row r="699" spans="4:43" ht="28.5" hidden="1" customHeight="1">
      <c r="D699" s="1">
        <v>0</v>
      </c>
      <c r="AB699" s="890"/>
      <c r="AC699" s="890"/>
      <c r="AD699" s="890"/>
      <c r="AE699" s="890"/>
      <c r="AF699" s="890"/>
      <c r="AG699" s="890"/>
      <c r="AH699" s="890"/>
      <c r="AI699" s="890"/>
      <c r="AJ699" s="890"/>
      <c r="AK699" s="890"/>
      <c r="AL699" s="890"/>
      <c r="AM699" s="890"/>
      <c r="AN699" s="890"/>
      <c r="AO699" s="890"/>
      <c r="AP699" s="890"/>
      <c r="AQ699" s="890"/>
    </row>
    <row r="700" spans="4:43" ht="33.75" customHeight="1" outlineLevel="1">
      <c r="D700" s="1">
        <v>45</v>
      </c>
      <c r="AB700" s="898" t="s">
        <v>1541</v>
      </c>
      <c r="AC700" s="890"/>
      <c r="AD700" s="890"/>
      <c r="AE700" s="890"/>
      <c r="AF700" s="890"/>
      <c r="AG700" s="890"/>
      <c r="AH700" s="890"/>
      <c r="AI700" s="890"/>
      <c r="AJ700" s="890"/>
      <c r="AK700" s="890"/>
      <c r="AL700" s="890"/>
      <c r="AM700" s="890"/>
      <c r="AN700" s="890"/>
      <c r="AO700" s="890"/>
      <c r="AP700" s="890"/>
      <c r="AQ700" s="890"/>
    </row>
    <row r="701" spans="4:43" ht="33.75" customHeight="1" outlineLevel="1">
      <c r="D701" s="1">
        <v>45</v>
      </c>
      <c r="AB701" s="894" t="e">
        <f>"Планируемый организацией размер расходов по данной статье, включаемых в необходимую валовую выручку на "&amp;PRD&amp;" год, составляет "&amp;ROUND(#REF!,2)&amp;" тыс. руб. "</f>
        <v>#REF!</v>
      </c>
      <c r="AC701" s="894"/>
      <c r="AD701" s="894"/>
      <c r="AE701" s="894"/>
      <c r="AF701" s="894"/>
      <c r="AG701" s="894"/>
      <c r="AH701" s="894"/>
      <c r="AI701" s="894"/>
      <c r="AJ701" s="894"/>
      <c r="AK701" s="894"/>
      <c r="AL701" s="894"/>
      <c r="AM701" s="894"/>
      <c r="AN701" s="894"/>
      <c r="AO701" s="894"/>
      <c r="AP701" s="894"/>
      <c r="AQ701" s="894"/>
    </row>
    <row r="702" spans="4:43" ht="33.75" customHeight="1" outlineLevel="1">
      <c r="D702" s="1">
        <v>45</v>
      </c>
      <c r="AB702" s="894" t="s">
        <v>1530</v>
      </c>
      <c r="AC702" s="894"/>
      <c r="AD702" s="894"/>
      <c r="AE702" s="894"/>
      <c r="AF702" s="894"/>
      <c r="AG702" s="894"/>
      <c r="AH702" s="894"/>
      <c r="AI702" s="894"/>
      <c r="AJ702" s="894"/>
      <c r="AK702" s="894"/>
      <c r="AL702" s="894"/>
      <c r="AM702" s="894"/>
      <c r="AN702" s="894"/>
      <c r="AO702" s="894"/>
      <c r="AP702" s="894"/>
      <c r="AQ702" s="894"/>
    </row>
    <row r="703" spans="4:43" ht="33.75" customHeight="1" outlineLevel="1">
      <c r="D703" s="1">
        <v>45</v>
      </c>
      <c r="AB703" s="894"/>
      <c r="AC703" s="894"/>
      <c r="AD703" s="894"/>
      <c r="AE703" s="894"/>
      <c r="AF703" s="894"/>
      <c r="AG703" s="894"/>
      <c r="AH703" s="894"/>
      <c r="AI703" s="894"/>
      <c r="AJ703" s="894"/>
      <c r="AK703" s="894"/>
      <c r="AL703" s="894"/>
      <c r="AM703" s="894"/>
      <c r="AN703" s="894"/>
      <c r="AO703" s="894"/>
      <c r="AP703" s="894"/>
      <c r="AQ703" s="894"/>
    </row>
    <row r="704" spans="4:43" ht="33.75" customHeight="1" outlineLevel="1">
      <c r="D704" s="1">
        <v>45</v>
      </c>
      <c r="AB704" s="894"/>
      <c r="AC704" s="894"/>
      <c r="AD704" s="894"/>
      <c r="AE704" s="894"/>
      <c r="AF704" s="894"/>
      <c r="AG704" s="894"/>
      <c r="AH704" s="894"/>
      <c r="AI704" s="894"/>
      <c r="AJ704" s="894"/>
      <c r="AK704" s="894"/>
      <c r="AL704" s="894"/>
      <c r="AM704" s="894"/>
      <c r="AN704" s="894"/>
      <c r="AO704" s="894"/>
      <c r="AP704" s="894"/>
      <c r="AQ704" s="894"/>
    </row>
    <row r="705" spans="4:43" ht="33.75" customHeight="1" outlineLevel="1">
      <c r="D705" s="1">
        <v>45</v>
      </c>
      <c r="AB705" s="894"/>
      <c r="AC705" s="894"/>
      <c r="AD705" s="894"/>
      <c r="AE705" s="894"/>
      <c r="AF705" s="894"/>
      <c r="AG705" s="894"/>
      <c r="AH705" s="894"/>
      <c r="AI705" s="894"/>
      <c r="AJ705" s="894"/>
      <c r="AK705" s="894"/>
      <c r="AL705" s="894"/>
      <c r="AM705" s="894"/>
      <c r="AN705" s="894"/>
      <c r="AO705" s="894"/>
      <c r="AP705" s="894"/>
      <c r="AQ705" s="894"/>
    </row>
    <row r="706" spans="4:43" ht="33.75" customHeight="1" outlineLevel="1">
      <c r="D706" s="1">
        <v>45</v>
      </c>
      <c r="AB706" s="894" t="e">
        <f>"Экспертами принято решение признать экономически обоснованными расходы на "&amp;PRD&amp;" год в размере "&amp;ROUND(#REF!,2)&amp;" тыс. руб."</f>
        <v>#REF!</v>
      </c>
      <c r="AC706" s="894"/>
      <c r="AD706" s="894"/>
      <c r="AE706" s="894"/>
      <c r="AF706" s="894"/>
      <c r="AG706" s="894"/>
      <c r="AH706" s="894"/>
      <c r="AI706" s="894"/>
      <c r="AJ706" s="894"/>
      <c r="AK706" s="894"/>
      <c r="AL706" s="894"/>
      <c r="AM706" s="894"/>
      <c r="AN706" s="894"/>
      <c r="AO706" s="894"/>
      <c r="AP706" s="894"/>
      <c r="AQ706" s="894"/>
    </row>
    <row r="707" spans="4:43" ht="33.75" customHeight="1" outlineLevel="1">
      <c r="D707" s="1">
        <v>45</v>
      </c>
      <c r="AB707" s="894"/>
      <c r="AC707" s="894"/>
      <c r="AD707" s="894"/>
      <c r="AE707" s="894"/>
      <c r="AF707" s="894"/>
      <c r="AG707" s="894"/>
      <c r="AH707" s="894"/>
      <c r="AI707" s="894"/>
      <c r="AJ707" s="894"/>
      <c r="AK707" s="894"/>
      <c r="AL707" s="894"/>
      <c r="AM707" s="894"/>
      <c r="AN707" s="894"/>
      <c r="AO707" s="894"/>
      <c r="AP707" s="894"/>
      <c r="AQ707" s="894"/>
    </row>
    <row r="708" spans="4:43" ht="33.75" customHeight="1" outlineLevel="1">
      <c r="D708" s="1">
        <v>45</v>
      </c>
      <c r="AB708" s="894"/>
      <c r="AC708" s="894"/>
      <c r="AD708" s="894"/>
      <c r="AE708" s="894"/>
      <c r="AF708" s="894"/>
      <c r="AG708" s="894"/>
      <c r="AH708" s="894"/>
      <c r="AI708" s="894"/>
      <c r="AJ708" s="894"/>
      <c r="AK708" s="894"/>
      <c r="AL708" s="894"/>
      <c r="AM708" s="894"/>
      <c r="AN708" s="894"/>
      <c r="AO708" s="894"/>
      <c r="AP708" s="894"/>
      <c r="AQ708" s="894"/>
    </row>
    <row r="709" spans="4:43" ht="28.5" hidden="1" customHeight="1">
      <c r="D709" s="1">
        <v>0</v>
      </c>
      <c r="AB709" s="890"/>
      <c r="AC709" s="890"/>
      <c r="AD709" s="890"/>
      <c r="AE709" s="890"/>
      <c r="AF709" s="890"/>
      <c r="AG709" s="890"/>
      <c r="AH709" s="890"/>
      <c r="AI709" s="890"/>
      <c r="AJ709" s="890"/>
      <c r="AK709" s="890"/>
      <c r="AL709" s="890"/>
      <c r="AM709" s="890"/>
      <c r="AN709" s="890"/>
      <c r="AO709" s="890"/>
      <c r="AP709" s="890"/>
      <c r="AQ709" s="890"/>
    </row>
    <row r="710" spans="4:43" ht="33.75" customHeight="1">
      <c r="D710" s="1">
        <v>45</v>
      </c>
      <c r="AB710" s="894" t="e">
        <f>"Экономически обоснованный уровень неподконтрольных расходов "&amp;AG27&amp;" на "&amp;PRD&amp;" год  определен экспертами методом экономически обоснованных расходов и составил "&amp;ROUND(#REF!,2)&amp;" тыс. руб."</f>
        <v>#REF!</v>
      </c>
      <c r="AC710" s="894"/>
      <c r="AD710" s="894"/>
      <c r="AE710" s="894"/>
      <c r="AF710" s="894"/>
      <c r="AG710" s="894"/>
      <c r="AH710" s="894"/>
      <c r="AI710" s="894"/>
      <c r="AJ710" s="894"/>
      <c r="AK710" s="894"/>
      <c r="AL710" s="894"/>
      <c r="AM710" s="894"/>
      <c r="AN710" s="894"/>
      <c r="AO710" s="894"/>
      <c r="AP710" s="894"/>
      <c r="AQ710" s="894"/>
    </row>
    <row r="711" spans="4:43" ht="33.75" customHeight="1">
      <c r="D711" s="1">
        <v>45</v>
      </c>
      <c r="AB711" s="890"/>
      <c r="AC711" s="890"/>
      <c r="AD711" s="890"/>
      <c r="AE711" s="890"/>
      <c r="AF711" s="890"/>
      <c r="AG711" s="890"/>
      <c r="AH711" s="890"/>
      <c r="AI711" s="890"/>
      <c r="AJ711" s="890"/>
      <c r="AK711" s="890"/>
      <c r="AL711" s="890"/>
      <c r="AM711" s="890"/>
      <c r="AN711" s="890"/>
      <c r="AO711" s="890"/>
      <c r="AP711" s="890"/>
      <c r="AQ711" s="890"/>
    </row>
    <row r="712" spans="4:43" ht="17.25" customHeight="1">
      <c r="D712" s="1">
        <v>23</v>
      </c>
      <c r="AB712" s="940" t="s">
        <v>1542</v>
      </c>
      <c r="AC712" s="781"/>
      <c r="AD712" s="781"/>
      <c r="AE712" s="781"/>
      <c r="AF712" s="781"/>
      <c r="AG712" s="781"/>
      <c r="AH712" s="781"/>
      <c r="AI712" s="781"/>
      <c r="AJ712" s="781"/>
      <c r="AK712" s="781"/>
      <c r="AL712" s="781"/>
      <c r="AM712" s="781"/>
      <c r="AN712" s="781"/>
      <c r="AO712" s="781"/>
      <c r="AP712" s="781"/>
      <c r="AQ712" s="781"/>
    </row>
    <row r="713" spans="4:43" ht="33.75" customHeight="1">
      <c r="D713" s="1">
        <v>45</v>
      </c>
      <c r="AB713" s="896" t="e">
        <f>AG27&amp;IF(#REF!=0," не планирует расходов по данной статье. Эксперты согласились с предложением организации.","планирует расходы в размере "&amp;#REF!)</f>
        <v>#REF!</v>
      </c>
      <c r="AC713" s="896"/>
      <c r="AD713" s="896"/>
      <c r="AE713" s="896"/>
      <c r="AF713" s="896"/>
      <c r="AG713" s="896"/>
      <c r="AH713" s="896"/>
      <c r="AI713" s="896"/>
      <c r="AJ713" s="896"/>
      <c r="AK713" s="896"/>
      <c r="AL713" s="896"/>
      <c r="AM713" s="896"/>
      <c r="AN713" s="896"/>
      <c r="AO713" s="896"/>
      <c r="AP713" s="896"/>
      <c r="AQ713" s="896"/>
    </row>
    <row r="714" spans="4:43" ht="33.75" customHeight="1">
      <c r="D714" s="1">
        <v>45</v>
      </c>
      <c r="AB714" s="896"/>
      <c r="AC714" s="896"/>
      <c r="AD714" s="896"/>
      <c r="AE714" s="896"/>
      <c r="AF714" s="896"/>
      <c r="AG714" s="896"/>
      <c r="AH714" s="896"/>
      <c r="AI714" s="896"/>
      <c r="AJ714" s="896"/>
      <c r="AK714" s="896"/>
      <c r="AL714" s="896"/>
      <c r="AM714" s="896"/>
      <c r="AN714" s="896"/>
      <c r="AO714" s="896"/>
      <c r="AP714" s="896"/>
      <c r="AQ714" s="896"/>
    </row>
    <row r="715" spans="4:43" ht="33.75" customHeight="1">
      <c r="D715" s="1">
        <v>45</v>
      </c>
      <c r="AB715" s="896"/>
      <c r="AC715" s="896"/>
      <c r="AD715" s="896"/>
      <c r="AE715" s="896"/>
      <c r="AF715" s="896"/>
      <c r="AG715" s="896"/>
      <c r="AH715" s="896"/>
      <c r="AI715" s="896"/>
      <c r="AJ715" s="896"/>
      <c r="AK715" s="896"/>
      <c r="AL715" s="896"/>
      <c r="AM715" s="896"/>
      <c r="AN715" s="896"/>
      <c r="AO715" s="896"/>
      <c r="AP715" s="896"/>
      <c r="AQ715" s="896"/>
    </row>
    <row r="716" spans="4:43" ht="28.5" hidden="1" customHeight="1">
      <c r="D716" s="1">
        <v>0</v>
      </c>
      <c r="AB716" s="781"/>
      <c r="AC716" s="781"/>
      <c r="AD716" s="781"/>
      <c r="AE716" s="781"/>
      <c r="AF716" s="781"/>
      <c r="AG716" s="781"/>
      <c r="AH716" s="781"/>
      <c r="AI716" s="781"/>
      <c r="AJ716" s="781"/>
      <c r="AK716" s="781"/>
      <c r="AL716" s="781"/>
      <c r="AM716" s="781"/>
      <c r="AN716" s="781"/>
      <c r="AO716" s="781"/>
      <c r="AP716" s="781"/>
      <c r="AQ716" s="781"/>
    </row>
    <row r="717" spans="4:43" ht="17.25" customHeight="1" outlineLevel="1">
      <c r="D717" s="1">
        <v>23</v>
      </c>
      <c r="AB717" s="940" t="s">
        <v>1543</v>
      </c>
      <c r="AC717" s="781"/>
      <c r="AD717" s="781"/>
      <c r="AE717" s="781"/>
      <c r="AF717" s="781"/>
      <c r="AG717" s="781"/>
      <c r="AH717" s="781"/>
      <c r="AI717" s="781"/>
      <c r="AJ717" s="781"/>
      <c r="AK717" s="781"/>
      <c r="AL717" s="781"/>
      <c r="AM717" s="781"/>
      <c r="AN717" s="781"/>
      <c r="AO717" s="781"/>
      <c r="AP717" s="781"/>
      <c r="AQ717" s="781"/>
    </row>
    <row r="718" spans="4:43" ht="17.25" customHeight="1" outlineLevel="1">
      <c r="D718" s="1">
        <v>23</v>
      </c>
    </row>
    <row r="719" spans="4:43" ht="33.75" customHeight="1" outlineLevel="1">
      <c r="D719" s="1">
        <v>45</v>
      </c>
      <c r="AB719" s="896" t="s">
        <v>1544</v>
      </c>
      <c r="AC719" s="896"/>
      <c r="AD719" s="896"/>
      <c r="AE719" s="896"/>
      <c r="AF719" s="896"/>
      <c r="AG719" s="896"/>
      <c r="AH719" s="896"/>
      <c r="AI719" s="896"/>
      <c r="AJ719" s="896"/>
      <c r="AK719" s="896"/>
      <c r="AL719" s="896"/>
      <c r="AM719" s="896"/>
      <c r="AN719" s="896"/>
      <c r="AO719" s="896"/>
      <c r="AP719" s="896"/>
      <c r="AQ719" s="896"/>
    </row>
    <row r="720" spans="4:43" ht="21" customHeight="1" outlineLevel="1">
      <c r="D720" s="1">
        <v>28</v>
      </c>
      <c r="AB720" s="896" t="e">
        <f>"Предприятием предлагается включить в необходимую валовую выручку на "&amp;PRD&amp;" год корректировки, рассчитанные на основании фактических данных за "&amp;PRD-2&amp;" год, в сумме "&amp;ROUND(#REF!,2)&amp;" тыс. руб., в том числе:"</f>
        <v>#REF!</v>
      </c>
      <c r="AC720" s="896"/>
      <c r="AD720" s="896"/>
      <c r="AE720" s="896"/>
      <c r="AF720" s="896"/>
      <c r="AG720" s="896"/>
      <c r="AH720" s="896"/>
      <c r="AI720" s="896"/>
      <c r="AJ720" s="896"/>
      <c r="AK720" s="896"/>
      <c r="AL720" s="896"/>
      <c r="AM720" s="896"/>
      <c r="AN720" s="896"/>
      <c r="AO720" s="896"/>
      <c r="AP720" s="896"/>
      <c r="AQ720" s="896"/>
    </row>
    <row r="721" spans="4:43" ht="19.5" customHeight="1" outlineLevel="1">
      <c r="D721" s="1">
        <v>26</v>
      </c>
      <c r="AB721" s="896" t="e">
        <f>"1) корректировка подконтрольных расходов в связи с изменением планируемых параметров расчёта тарифов в сумме "&amp;ROUND(#REF!,2)&amp;" тыс. руб.;"</f>
        <v>#REF!</v>
      </c>
      <c r="AC721" s="896"/>
      <c r="AD721" s="896"/>
      <c r="AE721" s="896"/>
      <c r="AF721" s="896"/>
      <c r="AG721" s="896"/>
      <c r="AH721" s="896"/>
      <c r="AI721" s="896"/>
      <c r="AJ721" s="896"/>
      <c r="AK721" s="896"/>
      <c r="AL721" s="896"/>
      <c r="AM721" s="896"/>
      <c r="AN721" s="896"/>
      <c r="AO721" s="896"/>
      <c r="AP721" s="896"/>
      <c r="AQ721" s="896"/>
    </row>
    <row r="722" spans="4:43" ht="19.5" customHeight="1" outlineLevel="1">
      <c r="D722" s="1">
        <v>26</v>
      </c>
      <c r="AB722" s="896" t="e">
        <f>"2) корректировка неподконтрольных расходов исходя из фактических значений указанного параметра в сумме "&amp;ROUND(#REF!,2)&amp;" тыс. руб.;"</f>
        <v>#REF!</v>
      </c>
      <c r="AC722" s="896"/>
      <c r="AD722" s="896"/>
      <c r="AE722" s="896"/>
      <c r="AF722" s="896"/>
      <c r="AG722" s="896"/>
      <c r="AH722" s="896"/>
      <c r="AI722" s="896"/>
      <c r="AJ722" s="896"/>
      <c r="AK722" s="896"/>
      <c r="AL722" s="896"/>
      <c r="AM722" s="896"/>
      <c r="AN722" s="896"/>
      <c r="AO722" s="896"/>
      <c r="AP722" s="896"/>
      <c r="AQ722" s="896"/>
    </row>
    <row r="723" spans="4:43" ht="19.5" customHeight="1" outlineLevel="1">
      <c r="D723" s="1">
        <v>26</v>
      </c>
      <c r="AB723" s="896" t="e">
        <f>"3) корректировка необходимой валовой выручки по доходам от осуществления регулируемой деятельности в сумме "&amp;ROUND(#REF!,2)&amp;" тыс.руб.;"</f>
        <v>#REF!</v>
      </c>
      <c r="AC723" s="896"/>
      <c r="AD723" s="896"/>
      <c r="AE723" s="896"/>
      <c r="AF723" s="896"/>
      <c r="AG723" s="896"/>
      <c r="AH723" s="896"/>
      <c r="AI723" s="896"/>
      <c r="AJ723" s="896"/>
      <c r="AK723" s="896"/>
      <c r="AL723" s="896"/>
      <c r="AM723" s="896"/>
      <c r="AN723" s="896"/>
      <c r="AO723" s="896"/>
      <c r="AP723" s="896"/>
      <c r="AQ723" s="896"/>
    </row>
    <row r="724" spans="4:43" ht="19.5" customHeight="1" outlineLevel="1">
      <c r="D724" s="1">
        <v>26</v>
      </c>
      <c r="AB724" s="896" t="e">
        <f>"4) корректировка необходимой валовой выручки регулируемой организации с учётом изменения полезного отпуска и цен на электрическую энергию в сумме "&amp;ROUND(#REF!,2)&amp;" тыс.руб."</f>
        <v>#REF!</v>
      </c>
      <c r="AC724" s="896"/>
      <c r="AD724" s="896"/>
      <c r="AE724" s="896"/>
      <c r="AF724" s="896"/>
      <c r="AG724" s="896"/>
      <c r="AH724" s="896"/>
      <c r="AI724" s="896"/>
      <c r="AJ724" s="896"/>
      <c r="AK724" s="896"/>
      <c r="AL724" s="896"/>
      <c r="AM724" s="896"/>
      <c r="AN724" s="896"/>
      <c r="AO724" s="896"/>
      <c r="AP724" s="896"/>
      <c r="AQ724" s="896"/>
    </row>
    <row r="725" spans="4:43" ht="19.5" customHeight="1" outlineLevel="1">
      <c r="D725" s="1">
        <v>26</v>
      </c>
      <c r="AB725" s="896" t="e">
        <f>"5) Выполнение инвестиционной программы "&amp;ROUND(#REF!,2)&amp;" тыс.руб."</f>
        <v>#REF!</v>
      </c>
      <c r="AC725" s="896"/>
      <c r="AD725" s="896"/>
      <c r="AE725" s="896"/>
      <c r="AF725" s="896"/>
      <c r="AG725" s="896"/>
      <c r="AH725" s="896"/>
      <c r="AI725" s="896"/>
      <c r="AJ725" s="896"/>
      <c r="AK725" s="896"/>
      <c r="AL725" s="896"/>
      <c r="AM725" s="896"/>
      <c r="AN725" s="896"/>
      <c r="AO725" s="896"/>
      <c r="AP725" s="896"/>
      <c r="AQ725" s="896"/>
    </row>
    <row r="726" spans="4:43" ht="19.5" customHeight="1" outlineLevel="1">
      <c r="D726" s="1">
        <v>26</v>
      </c>
      <c r="AB726" s="896" t="e">
        <f>"6) Корректировка  НВВ по исполнению показателей надежности и качества "&amp;ROUND(#REF!,2)&amp;" тыс.руб."</f>
        <v>#REF!</v>
      </c>
      <c r="AC726" s="896"/>
      <c r="AD726" s="896"/>
      <c r="AE726" s="896"/>
      <c r="AF726" s="896"/>
      <c r="AG726" s="896"/>
      <c r="AH726" s="896"/>
      <c r="AI726" s="896"/>
      <c r="AJ726" s="896"/>
      <c r="AK726" s="896"/>
      <c r="AL726" s="896"/>
      <c r="AM726" s="896"/>
      <c r="AN726" s="896"/>
      <c r="AO726" s="896"/>
      <c r="AP726" s="896"/>
      <c r="AQ726" s="896"/>
    </row>
    <row r="727" spans="4:43" ht="19.5" customHeight="1" outlineLevel="1">
      <c r="D727" s="1">
        <v>26</v>
      </c>
      <c r="AB727" s="896" t="e">
        <f>"7) Корректировка ком. Учета "&amp;ROUND(#REF!,2)&amp;" тыс.руб."</f>
        <v>#REF!</v>
      </c>
      <c r="AC727" s="896"/>
      <c r="AD727" s="896"/>
      <c r="AE727" s="896"/>
      <c r="AF727" s="896"/>
      <c r="AG727" s="896"/>
      <c r="AH727" s="896"/>
      <c r="AI727" s="896"/>
      <c r="AJ727" s="896"/>
      <c r="AK727" s="896"/>
      <c r="AL727" s="896"/>
      <c r="AM727" s="896"/>
      <c r="AN727" s="896"/>
      <c r="AO727" s="896"/>
      <c r="AP727" s="896"/>
      <c r="AQ727" s="896"/>
    </row>
    <row r="728" spans="4:43" ht="19.5" customHeight="1" outlineLevel="1">
      <c r="D728" s="1">
        <v>26</v>
      </c>
      <c r="AB728" s="896" t="e">
        <f>"8) Корректировка НВВ по решению суда или ФАС "&amp;ROUND(#REF!,2)&amp;" тыс.руб."</f>
        <v>#REF!</v>
      </c>
      <c r="AC728" s="896"/>
      <c r="AD728" s="896"/>
      <c r="AE728" s="896"/>
      <c r="AF728" s="896"/>
      <c r="AG728" s="896"/>
      <c r="AH728" s="896"/>
      <c r="AI728" s="896"/>
      <c r="AJ728" s="896"/>
      <c r="AK728" s="896"/>
      <c r="AL728" s="896"/>
      <c r="AM728" s="896"/>
      <c r="AN728" s="896"/>
      <c r="AO728" s="896"/>
      <c r="AP728" s="896"/>
      <c r="AQ728" s="896"/>
    </row>
    <row r="729" spans="4:43" ht="19.5" customHeight="1" outlineLevel="1">
      <c r="D729" s="1">
        <v>26</v>
      </c>
      <c r="AB729" s="896" t="e">
        <f>"9) Корректировка НВВ в соответствии с актом проверки "&amp;ROUND(#REF!,2)&amp;" тыс.руб."</f>
        <v>#REF!</v>
      </c>
      <c r="AC729" s="896"/>
      <c r="AD729" s="896"/>
      <c r="AE729" s="896"/>
      <c r="AF729" s="896"/>
      <c r="AG729" s="896"/>
      <c r="AH729" s="896"/>
      <c r="AI729" s="896"/>
      <c r="AJ729" s="896"/>
      <c r="AK729" s="896"/>
      <c r="AL729" s="896"/>
      <c r="AM729" s="896"/>
      <c r="AN729" s="896"/>
      <c r="AO729" s="896"/>
      <c r="AP729" s="896"/>
      <c r="AQ729" s="896"/>
    </row>
    <row r="730" spans="4:43" ht="78" customHeight="1" outlineLevel="1">
      <c r="D730" s="1">
        <v>104</v>
      </c>
      <c r="AB730" s="896" t="s">
        <v>1545</v>
      </c>
      <c r="AC730" s="896"/>
      <c r="AD730" s="896"/>
      <c r="AE730" s="896"/>
      <c r="AF730" s="896"/>
      <c r="AG730" s="896"/>
      <c r="AH730" s="896"/>
      <c r="AI730" s="896"/>
      <c r="AJ730" s="896"/>
      <c r="AK730" s="896"/>
      <c r="AL730" s="896"/>
      <c r="AM730" s="896"/>
      <c r="AN730" s="896"/>
      <c r="AO730" s="896"/>
      <c r="AP730" s="896"/>
      <c r="AQ730" s="896"/>
    </row>
    <row r="731" spans="4:43" ht="75.75" customHeight="1" outlineLevel="1">
      <c r="D731" s="1">
        <v>101</v>
      </c>
      <c r="AB731" s="896" t="s">
        <v>1546</v>
      </c>
      <c r="AC731" s="896"/>
      <c r="AD731" s="896"/>
      <c r="AE731" s="896"/>
      <c r="AF731" s="896"/>
      <c r="AG731" s="896"/>
      <c r="AH731" s="896"/>
      <c r="AI731" s="896"/>
      <c r="AJ731" s="896"/>
      <c r="AK731" s="896"/>
      <c r="AL731" s="896"/>
      <c r="AM731" s="896"/>
      <c r="AN731" s="896"/>
      <c r="AO731" s="896"/>
      <c r="AP731" s="896"/>
      <c r="AQ731" s="896"/>
    </row>
    <row r="732" spans="4:43" ht="33.75" customHeight="1" outlineLevel="1">
      <c r="D732" s="1">
        <v>45</v>
      </c>
      <c r="AB732" s="890"/>
      <c r="AC732" s="895"/>
      <c r="AD732" s="895"/>
      <c r="AE732" s="895"/>
      <c r="AF732" s="895"/>
      <c r="AG732" s="895"/>
      <c r="AH732" s="895"/>
      <c r="AI732" s="895"/>
      <c r="AJ732" s="895"/>
      <c r="AK732" s="895"/>
      <c r="AL732" s="895"/>
      <c r="AM732" s="895"/>
      <c r="AN732" s="895"/>
      <c r="AO732" s="895"/>
      <c r="AP732" s="895"/>
      <c r="AQ732" s="895"/>
    </row>
    <row r="733" spans="4:43" ht="33.75" customHeight="1" outlineLevel="1">
      <c r="D733" s="1">
        <v>45</v>
      </c>
      <c r="AB733" s="888" t="s">
        <v>1547</v>
      </c>
      <c r="AC733" s="889"/>
      <c r="AD733" s="889"/>
      <c r="AE733" s="889"/>
      <c r="AF733" s="889"/>
      <c r="AG733" s="889"/>
      <c r="AH733" s="889"/>
      <c r="AI733" s="889"/>
      <c r="AJ733" s="889"/>
      <c r="AK733" s="889"/>
      <c r="AL733" s="889"/>
      <c r="AM733" s="889"/>
      <c r="AN733" s="889"/>
      <c r="AO733" s="889"/>
      <c r="AP733" s="889"/>
      <c r="AQ733" s="889"/>
    </row>
    <row r="734" spans="4:43" ht="33.75" customHeight="1" outlineLevel="1">
      <c r="D734" s="1">
        <v>45</v>
      </c>
      <c r="AB734" s="340" t="s">
        <v>1548</v>
      </c>
      <c r="AC734" s="890" t="s">
        <v>1549</v>
      </c>
      <c r="AD734" s="895"/>
      <c r="AE734" s="895"/>
      <c r="AF734" s="895"/>
      <c r="AG734" s="895"/>
      <c r="AH734" s="895"/>
      <c r="AI734" s="895"/>
      <c r="AJ734" s="895"/>
      <c r="AK734" s="895"/>
      <c r="AL734" s="895"/>
      <c r="AM734" s="895"/>
      <c r="AN734" s="895"/>
      <c r="AO734" s="895"/>
      <c r="AP734" s="895"/>
      <c r="AQ734" s="895"/>
    </row>
    <row r="735" spans="4:43" ht="33.75" customHeight="1" outlineLevel="1">
      <c r="D735" s="1">
        <v>45</v>
      </c>
      <c r="AB735" s="888" t="s">
        <v>1550</v>
      </c>
      <c r="AC735" s="889"/>
      <c r="AD735" s="889"/>
      <c r="AE735" s="889"/>
      <c r="AF735" s="889"/>
      <c r="AG735" s="889"/>
      <c r="AH735" s="889"/>
      <c r="AI735" s="889"/>
      <c r="AJ735" s="889"/>
      <c r="AK735" s="889"/>
      <c r="AL735" s="889"/>
      <c r="AM735" s="889"/>
      <c r="AN735" s="889"/>
      <c r="AO735" s="889"/>
      <c r="AP735" s="889"/>
      <c r="AQ735" s="889"/>
    </row>
    <row r="736" spans="4:43" ht="33.75" customHeight="1" outlineLevel="1">
      <c r="D736" s="1">
        <v>45</v>
      </c>
      <c r="AB736" s="890"/>
      <c r="AC736" s="895"/>
      <c r="AD736" s="895"/>
      <c r="AE736" s="895"/>
      <c r="AF736" s="895"/>
      <c r="AG736" s="895"/>
      <c r="AH736" s="895"/>
      <c r="AI736" s="895"/>
      <c r="AJ736" s="895"/>
      <c r="AK736" s="895"/>
      <c r="AL736" s="895"/>
      <c r="AM736" s="895"/>
      <c r="AN736" s="895"/>
      <c r="AO736" s="895"/>
      <c r="AP736" s="895"/>
      <c r="AQ736" s="895"/>
    </row>
    <row r="737" spans="4:43" ht="28.5" hidden="1" customHeight="1" outlineLevel="1">
      <c r="D737" s="1">
        <v>0</v>
      </c>
      <c r="AB737" s="890"/>
      <c r="AC737" s="890"/>
      <c r="AD737" s="890"/>
      <c r="AE737" s="890"/>
      <c r="AF737" s="890"/>
      <c r="AG737" s="890"/>
      <c r="AH737" s="890"/>
      <c r="AI737" s="890"/>
      <c r="AJ737" s="890"/>
      <c r="AK737" s="890"/>
      <c r="AL737" s="890"/>
      <c r="AM737" s="890"/>
      <c r="AN737" s="890"/>
      <c r="AO737" s="890"/>
      <c r="AP737" s="890"/>
      <c r="AQ737" s="890"/>
    </row>
    <row r="738" spans="4:43" ht="33.75" customHeight="1" outlineLevel="1">
      <c r="D738" s="1">
        <v>45</v>
      </c>
      <c r="AC738" s="313" t="s">
        <v>920</v>
      </c>
      <c r="AD738" s="882" t="s">
        <v>1551</v>
      </c>
      <c r="AE738" s="883"/>
      <c r="AF738" s="884"/>
      <c r="AG738" s="313" t="s">
        <v>619</v>
      </c>
      <c r="AH738" s="341" t="e">
        <f>#REF!</f>
        <v>#REF!</v>
      </c>
    </row>
    <row r="739" spans="4:43" ht="33.75" customHeight="1" outlineLevel="1">
      <c r="D739" s="1">
        <v>45</v>
      </c>
      <c r="AC739" s="313" t="s">
        <v>939</v>
      </c>
      <c r="AD739" s="882" t="str">
        <f>"Подконтрольные расходы план за "&amp;(PRD-3)&amp;" год"</f>
        <v>Подконтрольные расходы план за 2023 год</v>
      </c>
      <c r="AE739" s="883"/>
      <c r="AF739" s="884"/>
      <c r="AG739" s="313" t="s">
        <v>619</v>
      </c>
      <c r="AH739" s="341" t="e">
        <f>#REF!</f>
        <v>#REF!</v>
      </c>
    </row>
    <row r="740" spans="4:43" ht="48" customHeight="1" outlineLevel="1">
      <c r="D740" s="1">
        <v>64</v>
      </c>
      <c r="AC740" s="313" t="s">
        <v>930</v>
      </c>
      <c r="AD740" s="882" t="str">
        <f>"Коэффициент индексации подконтрольных расходов факт на "&amp;(PRD-2)&amp;" год"</f>
        <v>Коэффициент индексации подконтрольных расходов факт на 2024 год</v>
      </c>
      <c r="AE740" s="883"/>
      <c r="AF740" s="884"/>
      <c r="AG740" s="313" t="s">
        <v>549</v>
      </c>
      <c r="AH740" s="341" t="e">
        <f>(1-AH742)*(1+AH743)*(1+AH745*AH746)</f>
        <v>#REF!</v>
      </c>
    </row>
    <row r="741" spans="4:43" ht="43.5" customHeight="1" outlineLevel="1">
      <c r="D741" s="1">
        <v>58</v>
      </c>
      <c r="AC741" s="313" t="s">
        <v>931</v>
      </c>
      <c r="AD741" s="882" t="str">
        <f>"Коэффициент индексации подконтрольных расходов план на "&amp;(PRD-2)&amp;" год"</f>
        <v>Коэффициент индексации подконтрольных расходов план на 2024 год</v>
      </c>
      <c r="AE741" s="883"/>
      <c r="AF741" s="884"/>
      <c r="AG741" s="313" t="s">
        <v>549</v>
      </c>
      <c r="AH741" s="341" t="e">
        <f>(1-AH742)*(1+AH744)*(1+AH745*AH749)</f>
        <v>#REF!</v>
      </c>
    </row>
    <row r="742" spans="4:43" ht="21.75" customHeight="1" outlineLevel="1">
      <c r="D742" s="1">
        <v>29</v>
      </c>
      <c r="AC742" s="313" t="s">
        <v>932</v>
      </c>
      <c r="AD742" s="882" t="s">
        <v>1552</v>
      </c>
      <c r="AE742" s="883"/>
      <c r="AF742" s="884"/>
      <c r="AG742" s="313" t="s">
        <v>633</v>
      </c>
      <c r="AH742" s="342" t="e">
        <f>#REF!</f>
        <v>#REF!</v>
      </c>
    </row>
    <row r="743" spans="4:43" ht="21.75" customHeight="1" outlineLevel="1">
      <c r="D743" s="1">
        <v>29</v>
      </c>
      <c r="AC743" s="313" t="s">
        <v>1553</v>
      </c>
      <c r="AD743" s="882" t="str">
        <f>"ИПЦ факт на "&amp;(PRD-2)&amp;" год"</f>
        <v>ИПЦ факт на 2024 год</v>
      </c>
      <c r="AE743" s="883"/>
      <c r="AF743" s="884"/>
      <c r="AG743" s="313" t="s">
        <v>633</v>
      </c>
      <c r="AH743" s="342" t="e">
        <f>#REF!</f>
        <v>#REF!</v>
      </c>
    </row>
    <row r="744" spans="4:43" ht="21.75" customHeight="1" outlineLevel="1">
      <c r="D744" s="1">
        <v>29</v>
      </c>
      <c r="AC744" s="313" t="s">
        <v>1554</v>
      </c>
      <c r="AD744" s="882" t="str">
        <f>"ИПЦ план на "&amp;(PRD-2)&amp;" год"</f>
        <v>ИПЦ план на 2024 год</v>
      </c>
      <c r="AE744" s="883"/>
      <c r="AF744" s="884"/>
      <c r="AG744" s="313" t="s">
        <v>633</v>
      </c>
      <c r="AH744" s="342" t="e">
        <f>#REF!</f>
        <v>#REF!</v>
      </c>
    </row>
    <row r="745" spans="4:43" ht="21.75" customHeight="1" outlineLevel="1">
      <c r="D745" s="1">
        <v>29</v>
      </c>
      <c r="AC745" s="313" t="s">
        <v>1555</v>
      </c>
      <c r="AD745" s="882" t="s">
        <v>1556</v>
      </c>
      <c r="AE745" s="883"/>
      <c r="AF745" s="884"/>
      <c r="AG745" s="313" t="s">
        <v>549</v>
      </c>
      <c r="AH745" s="341">
        <v>0.75</v>
      </c>
    </row>
    <row r="746" spans="4:43" ht="21.75" customHeight="1" outlineLevel="1">
      <c r="D746" s="1">
        <v>29</v>
      </c>
      <c r="AC746" s="313" t="s">
        <v>1557</v>
      </c>
      <c r="AD746" s="882" t="str">
        <f>"ИКА факт на "&amp;(PRD-2)&amp;" год"</f>
        <v>ИКА факт на 2024 год</v>
      </c>
      <c r="AE746" s="883"/>
      <c r="AF746" s="884"/>
      <c r="AG746" s="313" t="s">
        <v>549</v>
      </c>
      <c r="AH746" s="341" t="e">
        <f>IF(AH748=0,0,(AH747-AH748)/AH748)</f>
        <v>#REF!</v>
      </c>
    </row>
    <row r="747" spans="4:43" ht="33.75" customHeight="1" outlineLevel="1">
      <c r="D747" s="1">
        <v>45</v>
      </c>
      <c r="AC747" s="313" t="s">
        <v>1558</v>
      </c>
      <c r="AD747" s="882" t="str">
        <f>"УЕ среднегодовое количество факт на "&amp;(PRD-2)&amp;" год"</f>
        <v>УЕ среднегодовое количество факт на 2024 год</v>
      </c>
      <c r="AE747" s="883"/>
      <c r="AF747" s="884"/>
      <c r="AG747" s="313" t="s">
        <v>696</v>
      </c>
      <c r="AH747" s="341" t="e">
        <f>#REF!</f>
        <v>#REF!</v>
      </c>
    </row>
    <row r="748" spans="4:43" ht="36" customHeight="1" outlineLevel="1">
      <c r="D748" s="1">
        <v>48</v>
      </c>
      <c r="AC748" s="313" t="s">
        <v>1559</v>
      </c>
      <c r="AD748" s="882" t="str">
        <f>"УЕ среднегодовое количество факт на "&amp;(PRD-3)&amp;" год"</f>
        <v>УЕ среднегодовое количество факт на 2023 год</v>
      </c>
      <c r="AE748" s="883"/>
      <c r="AF748" s="884"/>
      <c r="AG748" s="313" t="s">
        <v>696</v>
      </c>
      <c r="AH748" s="341" t="e">
        <f>IF(GOD_BAZUR_REG=PRD-3,#REF!,#REF!)</f>
        <v>#REF!</v>
      </c>
    </row>
    <row r="749" spans="4:43" ht="36" customHeight="1" outlineLevel="1">
      <c r="D749" s="1">
        <v>48</v>
      </c>
      <c r="AC749" s="313" t="s">
        <v>1560</v>
      </c>
      <c r="AD749" s="882" t="str">
        <f>"ИКА план на "&amp;(PRD-2)&amp;" год"</f>
        <v>ИКА план на 2024 год</v>
      </c>
      <c r="AE749" s="883"/>
      <c r="AF749" s="884"/>
      <c r="AG749" s="313" t="s">
        <v>549</v>
      </c>
      <c r="AH749" s="341" t="e">
        <f>#REF!</f>
        <v>#REF!</v>
      </c>
    </row>
    <row r="750" spans="4:43" ht="36" customHeight="1" outlineLevel="1">
      <c r="D750" s="1">
        <v>48</v>
      </c>
      <c r="AC750" s="313" t="s">
        <v>1561</v>
      </c>
      <c r="AD750" s="882" t="str">
        <f>"УЕ среднегодовое количество план на "&amp;(PRD-2)&amp;" год"</f>
        <v>УЕ среднегодовое количество план на 2024 год</v>
      </c>
      <c r="AE750" s="883"/>
      <c r="AF750" s="884"/>
      <c r="AG750" s="313" t="s">
        <v>696</v>
      </c>
      <c r="AH750" s="341" t="e">
        <f>#REF!</f>
        <v>#REF!</v>
      </c>
    </row>
    <row r="751" spans="4:43" ht="36" customHeight="1" outlineLevel="1">
      <c r="D751" s="1">
        <v>48</v>
      </c>
      <c r="AC751" s="313" t="s">
        <v>1562</v>
      </c>
      <c r="AD751" s="882" t="str">
        <f>"УЕ среднегодовое количество план на "&amp;(PRD-3)&amp;" год"</f>
        <v>УЕ среднегодовое количество план на 2023 год</v>
      </c>
      <c r="AE751" s="883"/>
      <c r="AF751" s="884"/>
      <c r="AG751" s="313" t="s">
        <v>696</v>
      </c>
      <c r="AH751" s="341" t="e">
        <f>#REF!</f>
        <v>#REF!</v>
      </c>
    </row>
    <row r="752" spans="4:43" ht="33.75" customHeight="1" outlineLevel="1">
      <c r="D752" s="1">
        <v>45</v>
      </c>
      <c r="AB752" s="892" t="s">
        <v>1563</v>
      </c>
      <c r="AC752" s="781"/>
      <c r="AD752" s="781"/>
      <c r="AE752" s="781"/>
      <c r="AF752" s="781"/>
      <c r="AG752" s="781"/>
      <c r="AH752" s="781"/>
      <c r="AI752" s="781"/>
      <c r="AJ752" s="781"/>
      <c r="AK752" s="781"/>
      <c r="AL752" s="781"/>
      <c r="AM752" s="781"/>
      <c r="AN752" s="781"/>
      <c r="AO752" s="781"/>
      <c r="AP752" s="781"/>
      <c r="AQ752" s="781"/>
    </row>
    <row r="753" spans="4:43" ht="33.75" customHeight="1" outlineLevel="1">
      <c r="D753" s="1">
        <v>45</v>
      </c>
      <c r="AB753" s="340" t="s">
        <v>1564</v>
      </c>
      <c r="AC753" s="890" t="s">
        <v>1565</v>
      </c>
      <c r="AD753" s="890"/>
      <c r="AE753" s="890"/>
      <c r="AF753" s="890"/>
      <c r="AG753" s="890"/>
      <c r="AH753" s="890"/>
      <c r="AI753" s="890"/>
      <c r="AJ753" s="890"/>
      <c r="AK753" s="890"/>
      <c r="AL753" s="890"/>
      <c r="AM753" s="890"/>
      <c r="AN753" s="890"/>
      <c r="AO753" s="890"/>
      <c r="AP753" s="890"/>
      <c r="AQ753" s="890"/>
    </row>
    <row r="754" spans="4:43" ht="21.75" customHeight="1" outlineLevel="1">
      <c r="D754" s="1">
        <v>29</v>
      </c>
      <c r="AB754" s="896" t="s">
        <v>1566</v>
      </c>
      <c r="AC754" s="896"/>
      <c r="AD754" s="896"/>
      <c r="AE754" s="896"/>
      <c r="AF754" s="896"/>
      <c r="AG754" s="896"/>
      <c r="AH754" s="896"/>
      <c r="AI754" s="896"/>
      <c r="AJ754" s="896"/>
      <c r="AK754" s="896"/>
      <c r="AL754" s="896"/>
      <c r="AM754" s="896"/>
      <c r="AN754" s="896"/>
      <c r="AO754" s="896"/>
      <c r="AP754" s="896"/>
      <c r="AQ754" s="896"/>
    </row>
    <row r="755" spans="4:43" ht="33.75" customHeight="1" outlineLevel="1">
      <c r="D755" s="1">
        <v>45</v>
      </c>
      <c r="AB755" s="896" t="str">
        <f>"Расчёт компенсации неподконтрольных расходов в соответствии с методическими указаниями определяется как разница между фактическими неподконтрольными расходами за "&amp;PRD-2&amp;" год и утверждёнными неподконтрольными расходами на "&amp;PRD-2&amp;" год."</f>
        <v>Расчёт компенсации неподконтрольных расходов в соответствии с методическими указаниями определяется как разница между фактическими неподконтрольными расходами за 2024 год и утверждёнными неподконтрольными расходами на 2024 год.</v>
      </c>
      <c r="AC755" s="896"/>
      <c r="AD755" s="896"/>
      <c r="AE755" s="896"/>
      <c r="AF755" s="896"/>
      <c r="AG755" s="896"/>
      <c r="AH755" s="896"/>
      <c r="AI755" s="896"/>
      <c r="AJ755" s="896"/>
      <c r="AK755" s="896"/>
      <c r="AL755" s="896"/>
      <c r="AM755" s="896"/>
      <c r="AN755" s="896"/>
      <c r="AO755" s="896"/>
      <c r="AP755" s="896"/>
      <c r="AQ755" s="896"/>
    </row>
    <row r="756" spans="4:43" ht="33.75" customHeight="1" outlineLevel="1">
      <c r="D756" s="1">
        <v>45</v>
      </c>
      <c r="AB756" s="896" t="str">
        <f>"Экспертами проведён анализ по каждой статье неподконтрольных расходов за "&amp;PRD-2&amp;" год и определены суммы фактических расходов за "&amp;PRD-2&amp;" год по каждой статье неподконтрольных расходов. Все сведения о фактических неподконтрольных расходах по расчёту экспертов представлены выше подразделе «Расчёт неподконтрольных расходов» раздела 3."</f>
        <v>Экспертами проведён анализ по каждой статье неподконтрольных расходов за 2024 год и определены суммы фактических расходов за 2024 год по каждой статье неподконтрольных расходов. Все сведения о фактических неподконтрольных расходах по расчёту экспертов представлены выше подразделе «Расчёт неподконтрольных расходов» раздела 3.</v>
      </c>
      <c r="AC756" s="896"/>
      <c r="AD756" s="896"/>
      <c r="AE756" s="896"/>
      <c r="AF756" s="896"/>
      <c r="AG756" s="896"/>
      <c r="AH756" s="896"/>
      <c r="AI756" s="896"/>
      <c r="AJ756" s="896"/>
      <c r="AK756" s="896"/>
      <c r="AL756" s="896"/>
      <c r="AM756" s="896"/>
      <c r="AN756" s="896"/>
      <c r="AO756" s="896"/>
      <c r="AP756" s="896"/>
      <c r="AQ756" s="896"/>
    </row>
    <row r="757" spans="4:43" ht="33.75" customHeight="1" outlineLevel="1">
      <c r="D757" s="1">
        <v>45</v>
      </c>
      <c r="AB757" s="888" t="s">
        <v>1275</v>
      </c>
      <c r="AC757" s="889"/>
      <c r="AD757" s="889"/>
      <c r="AE757" s="889"/>
      <c r="AF757" s="889"/>
      <c r="AG757" s="889"/>
      <c r="AH757" s="889"/>
      <c r="AI757" s="889"/>
      <c r="AJ757" s="889"/>
      <c r="AK757" s="889"/>
      <c r="AL757" s="889"/>
      <c r="AM757" s="889"/>
      <c r="AN757" s="889"/>
      <c r="AO757" s="889"/>
      <c r="AP757" s="889"/>
      <c r="AQ757" s="889"/>
    </row>
    <row r="758" spans="4:43" ht="33.75" customHeight="1" outlineLevel="1">
      <c r="D758" s="1">
        <v>45</v>
      </c>
      <c r="AB758" s="781"/>
      <c r="AC758" s="781"/>
      <c r="AD758" s="781"/>
      <c r="AE758" s="781"/>
      <c r="AF758" s="781"/>
      <c r="AG758" s="781"/>
      <c r="AH758" s="781"/>
      <c r="AI758" s="781"/>
      <c r="AJ758" s="781"/>
      <c r="AK758" s="781"/>
      <c r="AL758" s="781"/>
      <c r="AM758" s="781"/>
      <c r="AN758" s="781"/>
      <c r="AO758" s="781"/>
      <c r="AP758" s="781"/>
      <c r="AQ758" s="781"/>
    </row>
    <row r="759" spans="4:43" ht="54" customHeight="1" outlineLevel="1">
      <c r="D759" s="1">
        <v>72</v>
      </c>
      <c r="AC759" s="954"/>
      <c r="AD759" s="954"/>
      <c r="AE759" s="954"/>
      <c r="AF759" s="954"/>
      <c r="AG759" s="954"/>
      <c r="AH759" s="954"/>
      <c r="AI759" s="294" t="str">
        <f>PRD-2&amp;" утверждено"</f>
        <v>2024 утверждено</v>
      </c>
      <c r="AJ759" s="294" t="str">
        <f>PRD-2&amp;" факт ТСО"</f>
        <v>2024 факт ТСО</v>
      </c>
      <c r="AK759" s="343" t="str">
        <f>PRD-2&amp;" факт версия регулятора"</f>
        <v>2024 факт версия регулятора</v>
      </c>
      <c r="AL759" s="294" t="s">
        <v>277</v>
      </c>
    </row>
    <row r="760" spans="4:43" ht="23.25" customHeight="1" outlineLevel="1">
      <c r="D760" s="1">
        <v>31</v>
      </c>
      <c r="AC760" s="295" t="s">
        <v>632</v>
      </c>
      <c r="AD760" s="891" t="s">
        <v>986</v>
      </c>
      <c r="AE760" s="891"/>
      <c r="AF760" s="891"/>
      <c r="AG760" s="891"/>
      <c r="AH760" s="295" t="s">
        <v>619</v>
      </c>
      <c r="AI760" s="299" t="e">
        <f>#REF!</f>
        <v>#REF!</v>
      </c>
      <c r="AJ760" s="344" t="e">
        <f>#REF!</f>
        <v>#REF!</v>
      </c>
      <c r="AK760" s="299" t="e">
        <f>#REF!</f>
        <v>#REF!</v>
      </c>
      <c r="AL760" s="299" t="e">
        <f t="shared" ref="AL760:AL772" si="7">AK760-AI760</f>
        <v>#REF!</v>
      </c>
    </row>
    <row r="761" spans="4:43" ht="33.75" customHeight="1" outlineLevel="1">
      <c r="D761" s="1">
        <v>45</v>
      </c>
      <c r="AC761" s="295" t="s">
        <v>762</v>
      </c>
      <c r="AD761" s="891" t="s">
        <v>990</v>
      </c>
      <c r="AE761" s="891"/>
      <c r="AF761" s="891"/>
      <c r="AG761" s="891"/>
      <c r="AH761" s="295" t="s">
        <v>619</v>
      </c>
      <c r="AI761" s="299" t="e">
        <f>#REF!</f>
        <v>#REF!</v>
      </c>
      <c r="AJ761" s="344" t="e">
        <f>#REF!</f>
        <v>#REF!</v>
      </c>
      <c r="AK761" s="299" t="e">
        <f>#REF!</f>
        <v>#REF!</v>
      </c>
      <c r="AL761" s="299" t="e">
        <f t="shared" si="7"/>
        <v>#REF!</v>
      </c>
    </row>
    <row r="762" spans="4:43" ht="21" customHeight="1" outlineLevel="1">
      <c r="D762" s="1">
        <v>28</v>
      </c>
      <c r="AC762" s="295" t="s">
        <v>935</v>
      </c>
      <c r="AD762" s="891" t="s">
        <v>991</v>
      </c>
      <c r="AE762" s="891"/>
      <c r="AF762" s="891"/>
      <c r="AG762" s="891"/>
      <c r="AH762" s="295" t="s">
        <v>619</v>
      </c>
      <c r="AI762" s="299" t="e">
        <f>#REF!</f>
        <v>#REF!</v>
      </c>
      <c r="AJ762" s="344" t="e">
        <f>#REF!</f>
        <v>#REF!</v>
      </c>
      <c r="AK762" s="299" t="e">
        <f>#REF!</f>
        <v>#REF!</v>
      </c>
      <c r="AL762" s="299" t="e">
        <f t="shared" si="7"/>
        <v>#REF!</v>
      </c>
    </row>
    <row r="763" spans="4:43" ht="21" customHeight="1" outlineLevel="1">
      <c r="D763" s="1">
        <v>28</v>
      </c>
      <c r="AC763" s="295" t="s">
        <v>936</v>
      </c>
      <c r="AD763" s="891" t="s">
        <v>1567</v>
      </c>
      <c r="AE763" s="891"/>
      <c r="AF763" s="891"/>
      <c r="AG763" s="891"/>
      <c r="AH763" s="295" t="s">
        <v>619</v>
      </c>
      <c r="AI763" s="299" t="e">
        <f>#REF!-#REF!</f>
        <v>#REF!</v>
      </c>
      <c r="AJ763" s="344" t="e">
        <f>#REF!-#REF!</f>
        <v>#REF!</v>
      </c>
      <c r="AK763" s="299" t="e">
        <f>#REF!-#REF!</f>
        <v>#REF!</v>
      </c>
      <c r="AL763" s="299" t="e">
        <f t="shared" si="7"/>
        <v>#REF!</v>
      </c>
    </row>
    <row r="764" spans="4:43" ht="21" customHeight="1" outlineLevel="1">
      <c r="D764" s="1">
        <v>28</v>
      </c>
      <c r="AC764" s="295" t="s">
        <v>763</v>
      </c>
      <c r="AD764" s="891" t="s">
        <v>993</v>
      </c>
      <c r="AE764" s="891"/>
      <c r="AF764" s="891"/>
      <c r="AG764" s="891"/>
      <c r="AH764" s="295" t="s">
        <v>619</v>
      </c>
      <c r="AI764" s="299" t="e">
        <f>#REF!</f>
        <v>#REF!</v>
      </c>
      <c r="AJ764" s="344" t="e">
        <f>#REF!</f>
        <v>#REF!</v>
      </c>
      <c r="AK764" s="299" t="e">
        <f>#REF!</f>
        <v>#REF!</v>
      </c>
      <c r="AL764" s="299" t="e">
        <f t="shared" si="7"/>
        <v>#REF!</v>
      </c>
    </row>
    <row r="765" spans="4:43" ht="21" customHeight="1" outlineLevel="1">
      <c r="D765" s="1">
        <v>28</v>
      </c>
      <c r="AC765" s="295" t="s">
        <v>765</v>
      </c>
      <c r="AD765" s="891" t="s">
        <v>576</v>
      </c>
      <c r="AE765" s="891"/>
      <c r="AF765" s="891"/>
      <c r="AG765" s="891"/>
      <c r="AH765" s="295" t="s">
        <v>619</v>
      </c>
      <c r="AI765" s="299" t="e">
        <f>#REF!</f>
        <v>#REF!</v>
      </c>
      <c r="AJ765" s="344" t="e">
        <f>#REF!</f>
        <v>#REF!</v>
      </c>
      <c r="AK765" s="299" t="e">
        <f>#REF!</f>
        <v>#REF!</v>
      </c>
      <c r="AL765" s="299" t="e">
        <f t="shared" si="7"/>
        <v>#REF!</v>
      </c>
    </row>
    <row r="766" spans="4:43" ht="21" customHeight="1" outlineLevel="1">
      <c r="D766" s="1">
        <v>28</v>
      </c>
      <c r="AC766" s="295" t="s">
        <v>770</v>
      </c>
      <c r="AD766" s="891" t="s">
        <v>1568</v>
      </c>
      <c r="AE766" s="891"/>
      <c r="AF766" s="891"/>
      <c r="AG766" s="891"/>
      <c r="AH766" s="295" t="s">
        <v>619</v>
      </c>
      <c r="AI766" s="299" t="e">
        <f>#REF!-#REF!</f>
        <v>#REF!</v>
      </c>
      <c r="AJ766" s="344" t="e">
        <f>#REF!-#REF!</f>
        <v>#REF!</v>
      </c>
      <c r="AK766" s="299" t="e">
        <f>#REF!-#REF!</f>
        <v>#REF!</v>
      </c>
      <c r="AL766" s="299" t="e">
        <f t="shared" si="7"/>
        <v>#REF!</v>
      </c>
    </row>
    <row r="767" spans="4:43" ht="21" customHeight="1" outlineLevel="1">
      <c r="D767" s="1">
        <v>28</v>
      </c>
      <c r="AC767" s="295" t="s">
        <v>907</v>
      </c>
      <c r="AD767" s="891" t="s">
        <v>999</v>
      </c>
      <c r="AE767" s="891"/>
      <c r="AF767" s="891"/>
      <c r="AG767" s="891"/>
      <c r="AH767" s="295" t="s">
        <v>619</v>
      </c>
      <c r="AI767" s="299" t="e">
        <f>#REF!</f>
        <v>#REF!</v>
      </c>
      <c r="AJ767" s="344" t="e">
        <f>#REF!</f>
        <v>#REF!</v>
      </c>
      <c r="AK767" s="299" t="e">
        <f>#REF!</f>
        <v>#REF!</v>
      </c>
      <c r="AL767" s="299" t="e">
        <f t="shared" si="7"/>
        <v>#REF!</v>
      </c>
    </row>
    <row r="768" spans="4:43" ht="18" customHeight="1" outlineLevel="1">
      <c r="D768" s="1">
        <v>24</v>
      </c>
      <c r="AC768" s="295" t="s">
        <v>908</v>
      </c>
      <c r="AD768" s="891" t="s">
        <v>1569</v>
      </c>
      <c r="AE768" s="891"/>
      <c r="AF768" s="891"/>
      <c r="AG768" s="891"/>
      <c r="AH768" s="295" t="s">
        <v>619</v>
      </c>
      <c r="AI768" s="299" t="e">
        <f>#REF!</f>
        <v>#REF!</v>
      </c>
      <c r="AJ768" s="344" t="e">
        <f>#REF!</f>
        <v>#REF!</v>
      </c>
      <c r="AK768" s="299" t="e">
        <f>#REF!</f>
        <v>#REF!</v>
      </c>
      <c r="AL768" s="299" t="e">
        <f t="shared" si="7"/>
        <v>#REF!</v>
      </c>
    </row>
    <row r="769" spans="4:43" ht="18" customHeight="1" outlineLevel="1">
      <c r="D769" s="1">
        <v>24</v>
      </c>
      <c r="AC769" s="295" t="s">
        <v>909</v>
      </c>
      <c r="AD769" s="891" t="s">
        <v>1000</v>
      </c>
      <c r="AE769" s="891"/>
      <c r="AF769" s="891"/>
      <c r="AG769" s="891"/>
      <c r="AH769" s="295" t="s">
        <v>619</v>
      </c>
      <c r="AI769" s="299" t="e">
        <f>#REF!</f>
        <v>#REF!</v>
      </c>
      <c r="AJ769" s="344" t="e">
        <f>#REF!</f>
        <v>#REF!</v>
      </c>
      <c r="AK769" s="299" t="e">
        <f>#REF!</f>
        <v>#REF!</v>
      </c>
      <c r="AL769" s="299" t="e">
        <f t="shared" si="7"/>
        <v>#REF!</v>
      </c>
    </row>
    <row r="770" spans="4:43" ht="27" customHeight="1" outlineLevel="1">
      <c r="D770" s="1">
        <v>36</v>
      </c>
      <c r="AC770" s="295" t="s">
        <v>910</v>
      </c>
      <c r="AD770" s="891" t="s">
        <v>1002</v>
      </c>
      <c r="AE770" s="891"/>
      <c r="AF770" s="891"/>
      <c r="AG770" s="891"/>
      <c r="AH770" s="295" t="s">
        <v>619</v>
      </c>
      <c r="AI770" s="299" t="e">
        <f>#REF!</f>
        <v>#REF!</v>
      </c>
      <c r="AJ770" s="344" t="e">
        <f>#REF!</f>
        <v>#REF!</v>
      </c>
      <c r="AK770" s="299" t="e">
        <f>#REF!</f>
        <v>#REF!</v>
      </c>
      <c r="AL770" s="299" t="e">
        <f t="shared" si="7"/>
        <v>#REF!</v>
      </c>
    </row>
    <row r="771" spans="4:43" ht="13.5" customHeight="1" outlineLevel="1">
      <c r="D771" s="1">
        <v>18</v>
      </c>
      <c r="AC771" s="295" t="s">
        <v>982</v>
      </c>
      <c r="AD771" s="891" t="s">
        <v>577</v>
      </c>
      <c r="AE771" s="891"/>
      <c r="AF771" s="891"/>
      <c r="AG771" s="891"/>
      <c r="AH771" s="295" t="s">
        <v>619</v>
      </c>
      <c r="AI771" s="299" t="e">
        <f>#REF!</f>
        <v>#REF!</v>
      </c>
      <c r="AJ771" s="344" t="e">
        <f>#REF!</f>
        <v>#REF!</v>
      </c>
      <c r="AK771" s="299" t="e">
        <f>#REF!</f>
        <v>#REF!</v>
      </c>
      <c r="AL771" s="299" t="e">
        <f t="shared" si="7"/>
        <v>#REF!</v>
      </c>
    </row>
    <row r="772" spans="4:43" ht="27" customHeight="1" outlineLevel="1">
      <c r="D772" s="1">
        <v>36</v>
      </c>
      <c r="AC772" s="295" t="s">
        <v>983</v>
      </c>
      <c r="AD772" s="891" t="s">
        <v>1024</v>
      </c>
      <c r="AE772" s="891"/>
      <c r="AF772" s="891"/>
      <c r="AG772" s="891"/>
      <c r="AH772" s="295" t="s">
        <v>619</v>
      </c>
      <c r="AI772" s="299" t="e">
        <f>#REF!</f>
        <v>#REF!</v>
      </c>
      <c r="AJ772" s="344" t="e">
        <f>#REF!</f>
        <v>#REF!</v>
      </c>
      <c r="AK772" s="299" t="e">
        <f>#REF!</f>
        <v>#REF!</v>
      </c>
      <c r="AL772" s="299" t="e">
        <f t="shared" si="7"/>
        <v>#REF!</v>
      </c>
    </row>
    <row r="773" spans="4:43" ht="13.5" customHeight="1" outlineLevel="1">
      <c r="D773" s="1">
        <v>18</v>
      </c>
      <c r="AC773" s="295"/>
      <c r="AD773" s="897" t="s">
        <v>898</v>
      </c>
      <c r="AE773" s="897"/>
      <c r="AF773" s="897"/>
      <c r="AG773" s="897"/>
      <c r="AH773" s="297" t="s">
        <v>619</v>
      </c>
      <c r="AI773" s="345" t="e">
        <f>AI760+AI761+AI762+AI764+AI765+AI766+AI767+AI768+AI769+AI770+AI771+AI772</f>
        <v>#REF!</v>
      </c>
      <c r="AJ773" s="345" t="e">
        <f>AJ760+AJ761+AJ762+AJ764+AJ765+AJ766+AJ767+AJ768+AJ769+AJ770+AJ771+AJ772</f>
        <v>#REF!</v>
      </c>
      <c r="AK773" s="346" t="e">
        <f>AK760+AK761+AK762+AK764+AK765+AK766+AK767+AK768+AK769+AK770+AK771+AK772</f>
        <v>#REF!</v>
      </c>
      <c r="AL773" s="345" t="e">
        <f>AL760+AL761+AL762+AL764+AL765+AL766+AL767+AL768+AL769+AL770+AL771+AL772</f>
        <v>#REF!</v>
      </c>
    </row>
    <row r="774" spans="4:43" ht="13.5" customHeight="1" outlineLevel="1">
      <c r="D774" s="1">
        <v>18</v>
      </c>
    </row>
    <row r="775" spans="4:43" ht="11.25" hidden="1" customHeight="1" outlineLevel="1">
      <c r="D775" s="1">
        <v>0</v>
      </c>
    </row>
    <row r="776" spans="4:43" ht="23.25" customHeight="1" outlineLevel="1">
      <c r="D776" s="1">
        <v>31</v>
      </c>
      <c r="AB776" s="892" t="s">
        <v>1570</v>
      </c>
      <c r="AC776" s="781"/>
      <c r="AD776" s="781"/>
      <c r="AE776" s="781"/>
      <c r="AF776" s="781"/>
      <c r="AG776" s="781"/>
      <c r="AH776" s="781"/>
      <c r="AI776" s="781"/>
      <c r="AJ776" s="781"/>
      <c r="AK776" s="781"/>
      <c r="AL776" s="781"/>
      <c r="AM776" s="781"/>
      <c r="AN776" s="781"/>
      <c r="AO776" s="781"/>
      <c r="AP776" s="781"/>
      <c r="AQ776" s="781"/>
    </row>
    <row r="777" spans="4:43" ht="33.75" customHeight="1" outlineLevel="1">
      <c r="D777" s="1">
        <v>45</v>
      </c>
      <c r="AB777" s="340" t="s">
        <v>1571</v>
      </c>
      <c r="AC777" s="890" t="s">
        <v>1572</v>
      </c>
      <c r="AD777" s="890"/>
      <c r="AE777" s="890"/>
      <c r="AF777" s="890"/>
      <c r="AG777" s="890"/>
      <c r="AH777" s="890"/>
      <c r="AI777" s="890"/>
      <c r="AJ777" s="890"/>
      <c r="AK777" s="890"/>
      <c r="AL777" s="890"/>
      <c r="AM777" s="890"/>
      <c r="AN777" s="890"/>
      <c r="AO777" s="890"/>
      <c r="AP777" s="890"/>
      <c r="AQ777" s="890"/>
    </row>
    <row r="778" spans="4:43" ht="49.5" customHeight="1" outlineLevel="1">
      <c r="D778" s="1">
        <v>66</v>
      </c>
      <c r="AB778" s="892" t="s">
        <v>1573</v>
      </c>
      <c r="AC778" s="781"/>
      <c r="AD778" s="781"/>
      <c r="AE778" s="781"/>
      <c r="AF778" s="781"/>
      <c r="AG778" s="781"/>
      <c r="AH778" s="781"/>
      <c r="AI778" s="781"/>
      <c r="AJ778" s="781"/>
      <c r="AK778" s="781"/>
      <c r="AL778" s="781"/>
      <c r="AM778" s="781"/>
      <c r="AN778" s="781"/>
      <c r="AO778" s="781"/>
      <c r="AP778" s="781"/>
      <c r="AQ778" s="781"/>
    </row>
    <row r="779" spans="4:43" ht="35.25" customHeight="1" outlineLevel="1">
      <c r="D779" s="1">
        <v>47</v>
      </c>
      <c r="AB779" s="888" t="s">
        <v>1574</v>
      </c>
      <c r="AC779" s="889"/>
      <c r="AD779" s="889"/>
      <c r="AE779" s="889"/>
      <c r="AF779" s="889"/>
      <c r="AG779" s="889"/>
      <c r="AH779" s="889"/>
      <c r="AI779" s="889"/>
      <c r="AJ779" s="889"/>
      <c r="AK779" s="889"/>
      <c r="AL779" s="889"/>
      <c r="AM779" s="889"/>
      <c r="AN779" s="889"/>
      <c r="AO779" s="889"/>
      <c r="AP779" s="889"/>
      <c r="AQ779" s="889"/>
    </row>
    <row r="780" spans="4:43" ht="63" customHeight="1" outlineLevel="1">
      <c r="D780" s="1">
        <v>84</v>
      </c>
      <c r="AC780" s="313" t="s">
        <v>528</v>
      </c>
      <c r="AD780" s="882" t="s">
        <v>1575</v>
      </c>
      <c r="AE780" s="883"/>
      <c r="AF780" s="884"/>
      <c r="AG780" s="313" t="s">
        <v>1576</v>
      </c>
      <c r="AH780" s="341" t="e">
        <f>#REF!</f>
        <v>#REF!</v>
      </c>
    </row>
    <row r="781" spans="4:43" ht="63" customHeight="1" outlineLevel="1">
      <c r="D781" s="1">
        <v>84</v>
      </c>
      <c r="AC781" s="313" t="s">
        <v>530</v>
      </c>
      <c r="AD781" s="882" t="str">
        <f>"НВВ на содержание электрических сетей и на оплату технологического расхода (потерь) электрической энергии, установленная на  "&amp;(PRD-2)&amp;" год"</f>
        <v>НВВ на содержание электрических сетей и на оплату технологического расхода (потерь) электрической энергии, установленная на  2024 год</v>
      </c>
      <c r="AE781" s="883"/>
      <c r="AF781" s="884"/>
      <c r="AG781" s="313" t="s">
        <v>1576</v>
      </c>
      <c r="AH781" s="341" t="e">
        <f>#REF!</f>
        <v>#REF!</v>
      </c>
    </row>
    <row r="782" spans="4:43" ht="131.25" customHeight="1" outlineLevel="1">
      <c r="D782" s="1">
        <v>175</v>
      </c>
      <c r="AC782" s="313" t="s">
        <v>532</v>
      </c>
      <c r="AD782" s="882" t="str">
        <f>"Фактический объем выручки за услуги по передаче электрической энергии (с учетом фактически недополученной выручки по независящим от ТСО причинам), определимый исходя из установленных тарифов на "&amp;PRD-2&amp;" год и фактических объемов оказания услуг"</f>
        <v>Фактический объем выручки за услуги по передаче электрической энергии (с учетом фактически недополученной выручки по независящим от ТСО причинам), определимый исходя из установленных тарифов на 2024 год и фактических объемов оказания услуг</v>
      </c>
      <c r="AE782" s="883"/>
      <c r="AF782" s="884"/>
      <c r="AG782" s="313" t="s">
        <v>1576</v>
      </c>
      <c r="AH782" s="341" t="e">
        <f>#REF!</f>
        <v>#REF!</v>
      </c>
    </row>
    <row r="783" spans="4:43" ht="13.5" customHeight="1" outlineLevel="1">
      <c r="D783" s="1">
        <v>18</v>
      </c>
      <c r="AB783" s="347"/>
      <c r="AC783" s="347"/>
      <c r="AD783" s="347"/>
      <c r="AE783" s="347"/>
      <c r="AF783" s="347"/>
      <c r="AG783" s="347"/>
      <c r="AH783" s="347"/>
      <c r="AI783" s="347"/>
      <c r="AJ783" s="347"/>
      <c r="AK783" s="347"/>
      <c r="AL783" s="347"/>
      <c r="AM783" s="347"/>
      <c r="AN783" s="347"/>
      <c r="AO783" s="347"/>
      <c r="AP783" s="347"/>
      <c r="AQ783" s="347"/>
    </row>
    <row r="784" spans="4:43" ht="13.5" customHeight="1" outlineLevel="1">
      <c r="D784" s="1">
        <v>18</v>
      </c>
      <c r="AB784" s="347"/>
      <c r="AC784" s="347"/>
      <c r="AD784" s="347"/>
      <c r="AE784" s="347"/>
      <c r="AF784" s="347"/>
      <c r="AG784" s="347"/>
      <c r="AH784" s="347"/>
      <c r="AI784" s="347"/>
      <c r="AJ784" s="347"/>
      <c r="AK784" s="347"/>
      <c r="AL784" s="347"/>
      <c r="AM784" s="347"/>
      <c r="AN784" s="347"/>
      <c r="AO784" s="347"/>
      <c r="AP784" s="347"/>
      <c r="AQ784" s="347"/>
    </row>
    <row r="785" spans="4:43" ht="13.5" customHeight="1" outlineLevel="1">
      <c r="D785" s="1">
        <v>18</v>
      </c>
      <c r="AB785" s="347"/>
      <c r="AC785" s="347"/>
      <c r="AD785" s="347"/>
      <c r="AE785" s="347"/>
      <c r="AF785" s="347"/>
      <c r="AG785" s="347"/>
      <c r="AH785" s="347"/>
      <c r="AI785" s="347"/>
      <c r="AJ785" s="347"/>
      <c r="AK785" s="347"/>
      <c r="AL785" s="347"/>
      <c r="AM785" s="347"/>
      <c r="AN785" s="347"/>
      <c r="AO785" s="347"/>
      <c r="AP785" s="347"/>
      <c r="AQ785" s="347"/>
    </row>
    <row r="786" spans="4:43" ht="13.5" customHeight="1" outlineLevel="1">
      <c r="D786" s="1">
        <v>18</v>
      </c>
      <c r="AB786" s="347"/>
      <c r="AC786" s="347"/>
      <c r="AD786" s="347"/>
      <c r="AE786" s="347"/>
      <c r="AF786" s="347"/>
      <c r="AG786" s="347"/>
      <c r="AH786" s="347"/>
      <c r="AI786" s="347"/>
      <c r="AJ786" s="347"/>
      <c r="AK786" s="347"/>
      <c r="AL786" s="347"/>
      <c r="AM786" s="347"/>
      <c r="AN786" s="347"/>
      <c r="AO786" s="347"/>
      <c r="AP786" s="347"/>
      <c r="AQ786" s="347"/>
    </row>
    <row r="787" spans="4:43" ht="13.5" customHeight="1" outlineLevel="1">
      <c r="D787" s="1">
        <v>18</v>
      </c>
      <c r="AB787" s="347"/>
      <c r="AC787" s="347"/>
      <c r="AD787" s="347"/>
      <c r="AE787" s="347"/>
      <c r="AF787" s="347"/>
      <c r="AG787" s="347"/>
      <c r="AH787" s="347"/>
      <c r="AI787" s="347"/>
      <c r="AJ787" s="347"/>
      <c r="AK787" s="347"/>
      <c r="AL787" s="347"/>
      <c r="AM787" s="347"/>
      <c r="AN787" s="347"/>
      <c r="AO787" s="347"/>
      <c r="AP787" s="347"/>
      <c r="AQ787" s="347"/>
    </row>
    <row r="788" spans="4:43" ht="13.5" customHeight="1" outlineLevel="1">
      <c r="D788" s="1">
        <v>18</v>
      </c>
      <c r="AB788" s="347"/>
      <c r="AC788" s="347"/>
      <c r="AD788" s="347"/>
      <c r="AE788" s="347"/>
      <c r="AF788" s="347"/>
      <c r="AG788" s="347"/>
      <c r="AH788" s="347"/>
      <c r="AI788" s="347"/>
      <c r="AJ788" s="347"/>
      <c r="AK788" s="347"/>
      <c r="AL788" s="347"/>
      <c r="AM788" s="347"/>
      <c r="AN788" s="347"/>
      <c r="AO788" s="347"/>
      <c r="AP788" s="347"/>
      <c r="AQ788" s="347"/>
    </row>
    <row r="789" spans="4:43" ht="13.5" customHeight="1" outlineLevel="1">
      <c r="D789" s="1">
        <v>18</v>
      </c>
      <c r="AB789" s="347"/>
      <c r="AC789" s="347"/>
      <c r="AD789" s="347"/>
      <c r="AE789" s="347"/>
      <c r="AF789" s="347"/>
      <c r="AG789" s="347"/>
      <c r="AH789" s="347"/>
      <c r="AI789" s="347"/>
      <c r="AJ789" s="347"/>
      <c r="AK789" s="347"/>
      <c r="AL789" s="347"/>
      <c r="AM789" s="347"/>
      <c r="AN789" s="347"/>
      <c r="AO789" s="347"/>
      <c r="AP789" s="347"/>
      <c r="AQ789" s="347"/>
    </row>
    <row r="790" spans="4:43" ht="13.5" customHeight="1" outlineLevel="1">
      <c r="D790" s="1">
        <v>18</v>
      </c>
      <c r="AB790" s="347"/>
      <c r="AC790" s="347"/>
      <c r="AD790" s="347"/>
      <c r="AE790" s="347"/>
      <c r="AF790" s="347"/>
      <c r="AG790" s="347"/>
      <c r="AH790" s="347"/>
      <c r="AI790" s="347"/>
      <c r="AJ790" s="347"/>
      <c r="AK790" s="347"/>
      <c r="AL790" s="347"/>
      <c r="AM790" s="347"/>
      <c r="AN790" s="347"/>
      <c r="AO790" s="347"/>
      <c r="AP790" s="347"/>
      <c r="AQ790" s="347"/>
    </row>
    <row r="791" spans="4:43" ht="13.5" customHeight="1" outlineLevel="1">
      <c r="D791" s="1">
        <v>18</v>
      </c>
      <c r="AB791" s="347"/>
      <c r="AC791" s="347"/>
      <c r="AD791" s="347"/>
      <c r="AE791" s="347"/>
      <c r="AF791" s="347"/>
      <c r="AG791" s="347"/>
      <c r="AH791" s="347"/>
      <c r="AI791" s="347"/>
      <c r="AJ791" s="347"/>
      <c r="AK791" s="347"/>
      <c r="AL791" s="347"/>
      <c r="AM791" s="347"/>
      <c r="AN791" s="347"/>
      <c r="AO791" s="347"/>
      <c r="AP791" s="347"/>
      <c r="AQ791" s="347"/>
    </row>
    <row r="792" spans="4:43" ht="13.5" customHeight="1" outlineLevel="1">
      <c r="D792" s="1">
        <v>18</v>
      </c>
      <c r="AB792" s="347"/>
      <c r="AC792" s="347"/>
      <c r="AD792" s="347"/>
      <c r="AE792" s="347"/>
      <c r="AF792" s="347"/>
      <c r="AG792" s="347"/>
      <c r="AH792" s="347"/>
      <c r="AI792" s="347"/>
      <c r="AJ792" s="347"/>
      <c r="AK792" s="347"/>
      <c r="AL792" s="347"/>
      <c r="AM792" s="347"/>
      <c r="AN792" s="347"/>
      <c r="AO792" s="347"/>
      <c r="AP792" s="347"/>
      <c r="AQ792" s="347"/>
    </row>
    <row r="793" spans="4:43" ht="13.5" customHeight="1" outlineLevel="1">
      <c r="D793" s="1">
        <v>18</v>
      </c>
      <c r="AB793" s="347"/>
      <c r="AC793" s="347"/>
      <c r="AD793" s="347"/>
      <c r="AE793" s="347"/>
      <c r="AF793" s="347"/>
      <c r="AG793" s="347"/>
      <c r="AH793" s="347"/>
      <c r="AI793" s="347"/>
      <c r="AJ793" s="347"/>
      <c r="AK793" s="347"/>
      <c r="AL793" s="347"/>
      <c r="AM793" s="347"/>
      <c r="AN793" s="347"/>
      <c r="AO793" s="347"/>
      <c r="AP793" s="347"/>
      <c r="AQ793" s="347"/>
    </row>
    <row r="794" spans="4:43" ht="13.5" customHeight="1" outlineLevel="1">
      <c r="D794" s="1">
        <v>18</v>
      </c>
      <c r="AB794" s="347"/>
      <c r="AC794" s="347"/>
      <c r="AD794" s="347"/>
      <c r="AE794" s="347"/>
      <c r="AF794" s="347"/>
      <c r="AG794" s="347"/>
      <c r="AH794" s="347"/>
      <c r="AI794" s="347"/>
      <c r="AJ794" s="347"/>
      <c r="AK794" s="347"/>
      <c r="AL794" s="347"/>
      <c r="AM794" s="347"/>
      <c r="AN794" s="347"/>
      <c r="AO794" s="347"/>
      <c r="AP794" s="347"/>
      <c r="AQ794" s="347"/>
    </row>
    <row r="795" spans="4:43" ht="13.5" customHeight="1" outlineLevel="1">
      <c r="D795" s="1">
        <v>18</v>
      </c>
      <c r="AB795" s="347"/>
      <c r="AC795" s="347"/>
      <c r="AD795" s="347"/>
      <c r="AE795" s="347"/>
      <c r="AF795" s="347"/>
      <c r="AG795" s="347"/>
      <c r="AH795" s="347"/>
      <c r="AI795" s="347"/>
      <c r="AJ795" s="347"/>
      <c r="AK795" s="347"/>
      <c r="AL795" s="347"/>
      <c r="AM795" s="347"/>
      <c r="AN795" s="347"/>
      <c r="AO795" s="347"/>
      <c r="AP795" s="347"/>
      <c r="AQ795" s="347"/>
    </row>
    <row r="796" spans="4:43" ht="13.5" customHeight="1" outlineLevel="1">
      <c r="D796" s="1">
        <v>18</v>
      </c>
      <c r="AB796" s="347"/>
      <c r="AC796" s="347"/>
      <c r="AD796" s="347"/>
      <c r="AE796" s="347"/>
      <c r="AF796" s="347"/>
      <c r="AG796" s="347"/>
      <c r="AH796" s="347"/>
      <c r="AI796" s="347"/>
      <c r="AJ796" s="347"/>
      <c r="AK796" s="347"/>
      <c r="AL796" s="347"/>
      <c r="AM796" s="347"/>
      <c r="AN796" s="347"/>
      <c r="AO796" s="347"/>
      <c r="AP796" s="347"/>
      <c r="AQ796" s="347"/>
    </row>
    <row r="797" spans="4:43" ht="13.5" customHeight="1" outlineLevel="1">
      <c r="D797" s="1">
        <v>18</v>
      </c>
      <c r="AB797" s="347"/>
      <c r="AC797" s="347"/>
      <c r="AD797" s="347"/>
      <c r="AE797" s="347"/>
      <c r="AF797" s="347"/>
      <c r="AG797" s="347"/>
      <c r="AH797" s="347"/>
      <c r="AI797" s="347"/>
      <c r="AJ797" s="347"/>
      <c r="AK797" s="347"/>
      <c r="AL797" s="347"/>
      <c r="AM797" s="347"/>
      <c r="AN797" s="347"/>
      <c r="AO797" s="347"/>
      <c r="AP797" s="347"/>
      <c r="AQ797" s="347"/>
    </row>
    <row r="798" spans="4:43" ht="13.5" customHeight="1" outlineLevel="1">
      <c r="D798" s="1">
        <v>18</v>
      </c>
      <c r="AB798" s="347"/>
      <c r="AC798" s="347"/>
      <c r="AD798" s="347"/>
      <c r="AE798" s="347"/>
      <c r="AF798" s="347"/>
      <c r="AG798" s="347"/>
      <c r="AH798" s="347"/>
      <c r="AI798" s="347"/>
      <c r="AJ798" s="347"/>
      <c r="AK798" s="347"/>
      <c r="AL798" s="347"/>
      <c r="AM798" s="347"/>
      <c r="AN798" s="347"/>
      <c r="AO798" s="347"/>
      <c r="AP798" s="347"/>
      <c r="AQ798" s="347"/>
    </row>
    <row r="799" spans="4:43" ht="13.5" customHeight="1" outlineLevel="1">
      <c r="D799" s="1">
        <v>18</v>
      </c>
      <c r="AB799" s="347"/>
      <c r="AC799" s="347"/>
      <c r="AD799" s="347"/>
      <c r="AE799" s="347"/>
      <c r="AF799" s="347"/>
      <c r="AG799" s="347"/>
      <c r="AH799" s="347"/>
      <c r="AI799" s="347"/>
      <c r="AJ799" s="347"/>
      <c r="AK799" s="347"/>
      <c r="AL799" s="347"/>
      <c r="AM799" s="347"/>
      <c r="AN799" s="347"/>
      <c r="AO799" s="347"/>
      <c r="AP799" s="347"/>
      <c r="AQ799" s="347"/>
    </row>
    <row r="800" spans="4:43" ht="11.25" hidden="1" customHeight="1" outlineLevel="1">
      <c r="D800" s="1">
        <v>0</v>
      </c>
    </row>
    <row r="801" spans="4:43" ht="23.25" customHeight="1" outlineLevel="1">
      <c r="D801" s="1">
        <v>31</v>
      </c>
      <c r="AB801" s="892" t="s">
        <v>1577</v>
      </c>
      <c r="AC801" s="781"/>
      <c r="AD801" s="781"/>
      <c r="AE801" s="781"/>
      <c r="AF801" s="781"/>
      <c r="AG801" s="781"/>
      <c r="AH801" s="781"/>
      <c r="AI801" s="781"/>
      <c r="AJ801" s="781"/>
      <c r="AK801" s="781"/>
      <c r="AL801" s="781"/>
      <c r="AM801" s="781"/>
      <c r="AN801" s="781"/>
      <c r="AO801" s="781"/>
      <c r="AP801" s="781"/>
      <c r="AQ801" s="781"/>
    </row>
    <row r="802" spans="4:43" ht="48" customHeight="1" outlineLevel="1">
      <c r="D802" s="1">
        <v>64</v>
      </c>
      <c r="AB802" s="892" t="s">
        <v>1578</v>
      </c>
      <c r="AC802" s="781"/>
      <c r="AD802" s="781"/>
      <c r="AE802" s="781"/>
      <c r="AF802" s="781"/>
      <c r="AG802" s="781"/>
      <c r="AH802" s="781"/>
      <c r="AI802" s="781"/>
      <c r="AJ802" s="781"/>
      <c r="AK802" s="781"/>
      <c r="AL802" s="781"/>
      <c r="AM802" s="781"/>
      <c r="AN802" s="781"/>
      <c r="AO802" s="781"/>
      <c r="AP802" s="781"/>
      <c r="AQ802" s="781"/>
    </row>
    <row r="803" spans="4:43" ht="23.25" customHeight="1" outlineLevel="1">
      <c r="D803" s="1">
        <v>31</v>
      </c>
      <c r="AB803" s="892" t="s">
        <v>1579</v>
      </c>
      <c r="AC803" s="781"/>
      <c r="AD803" s="781"/>
      <c r="AE803" s="781"/>
      <c r="AF803" s="781"/>
      <c r="AG803" s="781"/>
      <c r="AH803" s="781"/>
      <c r="AI803" s="781"/>
      <c r="AJ803" s="781"/>
      <c r="AK803" s="781"/>
      <c r="AL803" s="781"/>
      <c r="AM803" s="781"/>
      <c r="AN803" s="781"/>
      <c r="AO803" s="781"/>
      <c r="AP803" s="781"/>
      <c r="AQ803" s="781"/>
    </row>
    <row r="804" spans="4:43" ht="33.75" customHeight="1" outlineLevel="2">
      <c r="D804" s="1">
        <v>45</v>
      </c>
      <c r="AB804" s="888" t="s">
        <v>1279</v>
      </c>
      <c r="AC804" s="889"/>
      <c r="AD804" s="889"/>
      <c r="AE804" s="889"/>
      <c r="AF804" s="889"/>
      <c r="AG804" s="889"/>
      <c r="AH804" s="889"/>
      <c r="AI804" s="889"/>
      <c r="AJ804" s="889"/>
      <c r="AK804" s="889"/>
      <c r="AL804" s="889"/>
      <c r="AM804" s="889"/>
      <c r="AN804" s="889"/>
      <c r="AO804" s="889"/>
      <c r="AP804" s="889"/>
      <c r="AQ804" s="889"/>
    </row>
    <row r="805" spans="4:43" ht="15" customHeight="1" outlineLevel="1">
      <c r="D805" s="1">
        <v>20</v>
      </c>
      <c r="AA805" t="s">
        <v>507</v>
      </c>
      <c r="AB805" s="890"/>
      <c r="AC805" s="890"/>
      <c r="AD805" s="890"/>
      <c r="AE805" s="890"/>
      <c r="AF805" s="890"/>
      <c r="AG805" s="890"/>
      <c r="AH805" s="890"/>
      <c r="AI805" s="890"/>
      <c r="AJ805" s="890"/>
      <c r="AK805" s="890"/>
      <c r="AL805" s="890"/>
      <c r="AM805" s="890"/>
      <c r="AN805" s="890"/>
      <c r="AO805" s="890"/>
      <c r="AP805" s="890"/>
      <c r="AQ805" s="890"/>
    </row>
    <row r="806" spans="4:43" ht="23.25" customHeight="1" outlineLevel="2">
      <c r="D806" s="1">
        <v>31</v>
      </c>
      <c r="AB806" s="888" t="s">
        <v>1280</v>
      </c>
      <c r="AC806" s="889"/>
      <c r="AD806" s="889"/>
      <c r="AE806" s="889"/>
      <c r="AF806" s="889"/>
      <c r="AG806" s="889"/>
      <c r="AH806" s="889"/>
      <c r="AI806" s="889"/>
      <c r="AJ806" s="889"/>
      <c r="AK806" s="889"/>
      <c r="AL806" s="889"/>
      <c r="AM806" s="889"/>
      <c r="AN806" s="889"/>
      <c r="AO806" s="889"/>
      <c r="AP806" s="889"/>
      <c r="AQ806" s="889"/>
    </row>
    <row r="807" spans="4:43" ht="31.5" customHeight="1" outlineLevel="1">
      <c r="D807" s="1">
        <v>42</v>
      </c>
      <c r="AC807" s="313" t="s">
        <v>625</v>
      </c>
      <c r="AD807" s="893" t="s">
        <v>1580</v>
      </c>
      <c r="AE807" s="886"/>
      <c r="AF807" s="887"/>
      <c r="AG807" s="313" t="s">
        <v>619</v>
      </c>
      <c r="AH807" s="341">
        <f>IFERROR(#REF!,0)</f>
        <v>0</v>
      </c>
    </row>
    <row r="808" spans="4:43" ht="33.75" customHeight="1" outlineLevel="1">
      <c r="D808" s="1">
        <v>45</v>
      </c>
      <c r="AC808" s="313" t="s">
        <v>1221</v>
      </c>
      <c r="AD808" s="885" t="str">
        <f>"Фактический объем отпуска э/э в сеть "&amp;PRD-2&amp;" год"</f>
        <v>Фактический объем отпуска э/э в сеть 2024 год</v>
      </c>
      <c r="AE808" s="886"/>
      <c r="AF808" s="887"/>
      <c r="AG808" s="313" t="s">
        <v>916</v>
      </c>
      <c r="AH808" s="341" t="e">
        <f>#REF!</f>
        <v>#REF!</v>
      </c>
    </row>
    <row r="809" spans="4:43" ht="31.5" customHeight="1" outlineLevel="1">
      <c r="D809" s="1">
        <v>42</v>
      </c>
      <c r="AC809" s="313" t="s">
        <v>1222</v>
      </c>
      <c r="AD809" s="885" t="str">
        <f>"Плановый объем отпуска э/э в сеть "&amp;(PRD-2)&amp;" год"</f>
        <v>Плановый объем отпуска э/э в сеть 2024 год</v>
      </c>
      <c r="AE809" s="886"/>
      <c r="AF809" s="887"/>
      <c r="AG809" s="313" t="s">
        <v>916</v>
      </c>
      <c r="AH809" s="341" t="e">
        <f>#REF!</f>
        <v>#REF!</v>
      </c>
    </row>
    <row r="810" spans="4:43" ht="31.5" customHeight="1" outlineLevel="1">
      <c r="D810" s="1">
        <v>42</v>
      </c>
      <c r="AC810" s="313" t="s">
        <v>1230</v>
      </c>
      <c r="AD810" s="885" t="str">
        <f>"Величина фактических потерь "&amp;(PRD-2)&amp;" год"</f>
        <v>Величина фактических потерь 2024 год</v>
      </c>
      <c r="AE810" s="886"/>
      <c r="AF810" s="887"/>
      <c r="AG810" s="313" t="s">
        <v>916</v>
      </c>
      <c r="AH810" s="341" t="e">
        <f>#REF!</f>
        <v>#REF!</v>
      </c>
    </row>
    <row r="811" spans="4:43" ht="29.25" customHeight="1" outlineLevel="1">
      <c r="D811" s="1">
        <v>39</v>
      </c>
      <c r="AC811" s="313" t="s">
        <v>1231</v>
      </c>
      <c r="AD811" s="885" t="str">
        <f>"Фактическая средневзвешенная цена покупки потерь "&amp;(PRD-2)&amp;" год"</f>
        <v>Фактическая средневзвешенная цена покупки потерь 2024 год</v>
      </c>
      <c r="AE811" s="886"/>
      <c r="AF811" s="887"/>
      <c r="AG811" s="313" t="s">
        <v>1581</v>
      </c>
      <c r="AH811" s="341" t="e">
        <f>#REF!</f>
        <v>#REF!</v>
      </c>
    </row>
    <row r="812" spans="4:43" ht="45.75" customHeight="1" outlineLevel="1">
      <c r="D812" s="1">
        <v>61</v>
      </c>
      <c r="AC812" s="313" t="s">
        <v>1232</v>
      </c>
      <c r="AD812" s="885" t="str">
        <f>"Уровень технологического расхода (потерь) э/э (утв.) "&amp;PRD-2&amp;" год"</f>
        <v>Уровень технологического расхода (потерь) э/э (утв.) 2024 год</v>
      </c>
      <c r="AE812" s="886"/>
      <c r="AF812" s="887"/>
      <c r="AG812" s="313" t="s">
        <v>633</v>
      </c>
      <c r="AH812" s="342">
        <f>IFERROR(#REF!,0)</f>
        <v>0</v>
      </c>
    </row>
    <row r="813" spans="4:43" ht="36" customHeight="1" outlineLevel="1">
      <c r="D813" s="1">
        <v>48</v>
      </c>
      <c r="AC813" s="313" t="s">
        <v>1233</v>
      </c>
      <c r="AD813" s="885" t="str">
        <f>"Прогнозная цена покупки потерь "&amp;PRD-2&amp;" год"</f>
        <v>Прогнозная цена покупки потерь 2024 год</v>
      </c>
      <c r="AE813" s="886"/>
      <c r="AF813" s="887"/>
      <c r="AG813" s="313" t="s">
        <v>1581</v>
      </c>
      <c r="AH813" s="341">
        <f>IFERROR(#REF!,0)</f>
        <v>0</v>
      </c>
    </row>
    <row r="814" spans="4:43" ht="162" customHeight="1" outlineLevel="1">
      <c r="D814" s="1">
        <v>216</v>
      </c>
      <c r="AC814" s="313" t="s">
        <v>1234</v>
      </c>
      <c r="AD814" s="885" t="s">
        <v>1582</v>
      </c>
      <c r="AE814" s="886"/>
      <c r="AF814" s="887"/>
      <c r="AG814" s="313" t="s">
        <v>633</v>
      </c>
      <c r="AH814" s="342" t="e">
        <f>#REF!</f>
        <v>#REF!</v>
      </c>
    </row>
    <row r="815" spans="4:43" ht="81.75" customHeight="1" outlineLevel="1">
      <c r="D815" s="1">
        <v>109</v>
      </c>
      <c r="AB815" s="890" t="s">
        <v>1583</v>
      </c>
      <c r="AC815" s="890"/>
      <c r="AD815" s="890"/>
      <c r="AE815" s="890"/>
      <c r="AF815" s="890"/>
      <c r="AG815" s="890"/>
      <c r="AH815" s="890"/>
      <c r="AI815" s="890"/>
      <c r="AJ815" s="890"/>
      <c r="AK815" s="890"/>
      <c r="AL815" s="890"/>
      <c r="AM815" s="890"/>
      <c r="AN815" s="890"/>
      <c r="AO815" s="890"/>
      <c r="AP815" s="890"/>
      <c r="AQ815" s="890"/>
    </row>
    <row r="816" spans="4:43" ht="15" customHeight="1" outlineLevel="1">
      <c r="D816" s="1">
        <v>20</v>
      </c>
      <c r="AB816" s="890"/>
      <c r="AC816" s="890"/>
      <c r="AD816" s="890"/>
      <c r="AE816" s="890"/>
      <c r="AF816" s="890"/>
      <c r="AG816" s="890"/>
      <c r="AH816" s="890"/>
      <c r="AI816" s="890"/>
      <c r="AJ816" s="890"/>
      <c r="AK816" s="890"/>
      <c r="AL816" s="890"/>
      <c r="AM816" s="890"/>
      <c r="AN816" s="890"/>
      <c r="AO816" s="890"/>
      <c r="AP816" s="890"/>
      <c r="AQ816" s="890"/>
    </row>
    <row r="817" spans="4:43" ht="33.75" customHeight="1" outlineLevel="1">
      <c r="D817" s="1">
        <v>45</v>
      </c>
      <c r="AB817" s="888" t="s">
        <v>1584</v>
      </c>
      <c r="AC817" s="888"/>
      <c r="AD817" s="888"/>
      <c r="AE817" s="888"/>
      <c r="AF817" s="888"/>
      <c r="AG817" s="888"/>
      <c r="AH817" s="888"/>
      <c r="AI817" s="888"/>
      <c r="AJ817" s="888"/>
      <c r="AK817" s="888"/>
      <c r="AL817" s="888"/>
      <c r="AM817" s="888"/>
      <c r="AN817" s="888"/>
      <c r="AO817" s="888"/>
      <c r="AP817" s="888"/>
      <c r="AQ817" s="888"/>
    </row>
    <row r="818" spans="4:43" ht="15" customHeight="1" outlineLevel="1">
      <c r="D818" s="1">
        <v>20</v>
      </c>
      <c r="AB818" s="890"/>
      <c r="AC818" s="890"/>
      <c r="AD818" s="890"/>
      <c r="AE818" s="890"/>
      <c r="AF818" s="890"/>
      <c r="AG818" s="890"/>
      <c r="AH818" s="890"/>
      <c r="AI818" s="890"/>
      <c r="AJ818" s="890"/>
      <c r="AK818" s="890"/>
      <c r="AL818" s="890"/>
      <c r="AM818" s="890"/>
      <c r="AN818" s="890"/>
      <c r="AO818" s="890"/>
      <c r="AP818" s="890"/>
      <c r="AQ818" s="890"/>
    </row>
    <row r="819" spans="4:43" ht="33.75" customHeight="1" outlineLevel="1">
      <c r="D819" s="1">
        <v>45</v>
      </c>
      <c r="AB819" s="890" t="s">
        <v>1585</v>
      </c>
      <c r="AC819" s="890"/>
      <c r="AD819" s="890"/>
      <c r="AE819" s="890"/>
      <c r="AF819" s="890"/>
      <c r="AG819" s="890"/>
      <c r="AH819" s="890"/>
      <c r="AI819" s="890"/>
      <c r="AJ819" s="890"/>
      <c r="AK819" s="890"/>
      <c r="AL819" s="890"/>
      <c r="AM819" s="890"/>
      <c r="AN819" s="890"/>
      <c r="AO819" s="890"/>
      <c r="AP819" s="890"/>
      <c r="AQ819" s="890"/>
    </row>
    <row r="820" spans="4:43" ht="15" customHeight="1" outlineLevel="1">
      <c r="D820" s="1">
        <v>20</v>
      </c>
      <c r="AB820" s="890"/>
      <c r="AC820" s="890"/>
      <c r="AD820" s="890"/>
      <c r="AE820" s="890"/>
      <c r="AF820" s="890"/>
      <c r="AG820" s="890"/>
      <c r="AH820" s="890"/>
      <c r="AI820" s="890"/>
      <c r="AJ820" s="890"/>
      <c r="AK820" s="890"/>
      <c r="AL820" s="890"/>
      <c r="AM820" s="890"/>
      <c r="AN820" s="890"/>
      <c r="AO820" s="890"/>
      <c r="AP820" s="890"/>
      <c r="AQ820" s="890"/>
    </row>
    <row r="821" spans="4:43" ht="33.75" customHeight="1" outlineLevel="1">
      <c r="D821" s="1">
        <v>45</v>
      </c>
      <c r="AB821" s="888" t="s">
        <v>1586</v>
      </c>
      <c r="AC821" s="888"/>
      <c r="AD821" s="890" t="s">
        <v>1587</v>
      </c>
      <c r="AE821" s="890"/>
      <c r="AF821" s="890"/>
      <c r="AG821" s="890"/>
      <c r="AH821" s="890"/>
      <c r="AI821" s="890"/>
      <c r="AJ821" s="890"/>
      <c r="AK821" s="890"/>
      <c r="AL821" s="890"/>
      <c r="AM821" s="890"/>
      <c r="AN821" s="890"/>
      <c r="AO821" s="890"/>
      <c r="AP821" s="890"/>
      <c r="AQ821" s="890"/>
    </row>
    <row r="822" spans="4:43" ht="33.75" customHeight="1" outlineLevel="1">
      <c r="D822" s="1">
        <v>45</v>
      </c>
      <c r="AB822" s="338"/>
      <c r="AC822" s="890" t="s">
        <v>1588</v>
      </c>
      <c r="AD822" s="890"/>
      <c r="AE822" s="890"/>
      <c r="AF822" s="890"/>
      <c r="AG822" s="890"/>
      <c r="AH822" s="890"/>
      <c r="AI822" s="890"/>
      <c r="AJ822" s="890"/>
      <c r="AK822" s="890"/>
      <c r="AL822" s="890"/>
      <c r="AM822" s="890"/>
      <c r="AN822" s="890"/>
      <c r="AO822" s="890"/>
      <c r="AP822" s="890"/>
      <c r="AQ822" s="890"/>
    </row>
    <row r="823" spans="4:43" ht="15" customHeight="1" outlineLevel="1">
      <c r="D823" s="1">
        <v>20</v>
      </c>
      <c r="AB823" s="890"/>
      <c r="AC823" s="890"/>
      <c r="AD823" s="890"/>
      <c r="AE823" s="890"/>
      <c r="AF823" s="890"/>
      <c r="AG823" s="890"/>
      <c r="AH823" s="890"/>
      <c r="AI823" s="890"/>
      <c r="AJ823" s="890"/>
      <c r="AK823" s="890"/>
      <c r="AL823" s="890"/>
      <c r="AM823" s="890"/>
      <c r="AN823" s="890"/>
      <c r="AO823" s="890"/>
      <c r="AP823" s="890"/>
      <c r="AQ823" s="890"/>
    </row>
    <row r="824" spans="4:43" ht="33.75" customHeight="1" outlineLevel="1">
      <c r="D824" s="1">
        <v>45</v>
      </c>
      <c r="AB824" s="338"/>
      <c r="AC824" s="313" t="s">
        <v>625</v>
      </c>
      <c r="AD824" s="893" t="s">
        <v>1580</v>
      </c>
      <c r="AE824" s="886"/>
      <c r="AF824" s="887"/>
      <c r="AG824" s="313" t="s">
        <v>619</v>
      </c>
      <c r="AH824" s="341" t="e">
        <f>#REF!</f>
        <v>#REF!</v>
      </c>
      <c r="AI824" s="338"/>
      <c r="AJ824" s="338"/>
      <c r="AK824" s="338"/>
      <c r="AL824" s="338"/>
      <c r="AM824" s="338"/>
      <c r="AN824" s="338"/>
      <c r="AO824" s="338"/>
      <c r="AP824" s="338"/>
      <c r="AQ824" s="338"/>
    </row>
    <row r="825" spans="4:43" ht="167.25" customHeight="1" outlineLevel="1">
      <c r="D825" s="1">
        <v>223</v>
      </c>
      <c r="AB825" s="338"/>
      <c r="AC825" s="313" t="s">
        <v>1221</v>
      </c>
      <c r="AD825" s="885" t="str">
        <f>"Плановые расходы, признанные регулирующим органом экономически обоснованными в году "&amp;PRD-2&amp;", на выполнение, предусмотренных пунктом 5 статьи 37 Федерального закона от 26.03.2003 N 35-ФЗ "&amp;"Об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f>
        <v>Плановые расходы, признанные регулирующим органом экономически обоснованными в году 2024, на выполнение, предусмотренных пунктом 5 статьи 37 Федерального закона от 26.03.2003 N 35-ФЗ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v>
      </c>
      <c r="AE825" s="886"/>
      <c r="AF825" s="887"/>
      <c r="AG825" s="313" t="s">
        <v>916</v>
      </c>
      <c r="AH825" s="341" t="e">
        <f>#REF!</f>
        <v>#REF!</v>
      </c>
      <c r="AI825" s="338"/>
      <c r="AJ825" s="338"/>
      <c r="AK825" s="338"/>
      <c r="AL825" s="338"/>
      <c r="AM825" s="338"/>
      <c r="AN825" s="338"/>
      <c r="AO825" s="338"/>
      <c r="AP825" s="338"/>
      <c r="AQ825" s="338"/>
    </row>
    <row r="826" spans="4:43" ht="33.75" customHeight="1" outlineLevel="1">
      <c r="D826" s="1">
        <v>45</v>
      </c>
      <c r="AB826" s="890"/>
      <c r="AC826" s="890"/>
      <c r="AD826" s="890"/>
      <c r="AE826" s="890"/>
      <c r="AF826" s="890"/>
      <c r="AG826" s="890"/>
      <c r="AH826" s="890"/>
      <c r="AI826" s="890"/>
      <c r="AJ826" s="890"/>
      <c r="AK826" s="890"/>
      <c r="AL826" s="890"/>
      <c r="AM826" s="890"/>
      <c r="AN826" s="890"/>
      <c r="AO826" s="890"/>
      <c r="AP826" s="890"/>
      <c r="AQ826" s="890"/>
    </row>
    <row r="827" spans="4:43" ht="28.5" hidden="1" customHeight="1" outlineLevel="1">
      <c r="D827" s="1">
        <v>0</v>
      </c>
      <c r="AB827" s="890"/>
      <c r="AC827" s="890"/>
      <c r="AD827" s="890"/>
      <c r="AE827" s="890"/>
      <c r="AF827" s="890"/>
      <c r="AG827" s="890"/>
      <c r="AH827" s="890"/>
      <c r="AI827" s="890"/>
      <c r="AJ827" s="890"/>
      <c r="AK827" s="890"/>
      <c r="AL827" s="890"/>
      <c r="AM827" s="890"/>
      <c r="AN827" s="890"/>
      <c r="AO827" s="890"/>
      <c r="AP827" s="890"/>
      <c r="AQ827" s="890"/>
    </row>
    <row r="828" spans="4:43" ht="23.25" customHeight="1" outlineLevel="1">
      <c r="D828" s="1">
        <v>31</v>
      </c>
      <c r="AB828" s="892" t="s">
        <v>1589</v>
      </c>
      <c r="AC828" s="781"/>
      <c r="AD828" s="781"/>
      <c r="AE828" s="781"/>
      <c r="AF828" s="781"/>
      <c r="AG828" s="781"/>
      <c r="AH828" s="781"/>
      <c r="AI828" s="781"/>
      <c r="AJ828" s="781"/>
      <c r="AK828" s="781"/>
      <c r="AL828" s="781"/>
      <c r="AM828" s="781"/>
      <c r="AN828" s="781"/>
      <c r="AO828" s="781"/>
      <c r="AP828" s="781"/>
      <c r="AQ828" s="781"/>
    </row>
    <row r="829" spans="4:43" ht="13.5" customHeight="1" outlineLevel="1">
      <c r="D829" s="1">
        <v>18</v>
      </c>
    </row>
    <row r="830" spans="4:43" ht="37.5" customHeight="1" outlineLevel="1">
      <c r="D830" s="1">
        <v>50</v>
      </c>
      <c r="AC830" s="348" t="s">
        <v>530</v>
      </c>
      <c r="AD830" s="893" t="s">
        <v>1590</v>
      </c>
      <c r="AE830" s="886"/>
      <c r="AF830" s="887"/>
      <c r="AG830" s="313" t="s">
        <v>619</v>
      </c>
      <c r="AH830" s="341" t="e">
        <f>#REF!</f>
        <v>#REF!</v>
      </c>
    </row>
    <row r="831" spans="4:43" ht="117.75" customHeight="1" outlineLevel="1">
      <c r="D831" s="1">
        <v>157</v>
      </c>
      <c r="AC831" s="348" t="s">
        <v>632</v>
      </c>
      <c r="AD831" s="885" t="str">
        <f>"Расчетная величина собственных средств регулируемой организации для финансирования инвестиционной программы, учтенная при установлении тарифов в "&amp;PRD-2&amp;" году"</f>
        <v>Расчетная величина собственных средств регулируемой организации для финансирования инвестиционной программы, учтенная при установлении тарифов в 2024 году</v>
      </c>
      <c r="AE831" s="886"/>
      <c r="AF831" s="887"/>
      <c r="AG831" s="313" t="s">
        <v>619</v>
      </c>
      <c r="AH831" s="341" t="e">
        <f>#REF!</f>
        <v>#REF!</v>
      </c>
    </row>
    <row r="832" spans="4:43" ht="117.75" customHeight="1" outlineLevel="1">
      <c r="D832" s="1">
        <v>157</v>
      </c>
      <c r="AC832" s="348" t="s">
        <v>762</v>
      </c>
      <c r="AD832" s="885" t="str">
        <f>"Плановый размер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"&amp;PRD-2&amp;" год"</f>
        <v>Плановый размер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2024 год</v>
      </c>
      <c r="AE832" s="886"/>
      <c r="AF832" s="887"/>
      <c r="AG832" s="313" t="s">
        <v>619</v>
      </c>
      <c r="AH832" s="341" t="e">
        <f>#REF!</f>
        <v>#REF!</v>
      </c>
    </row>
    <row r="833" spans="4:43" ht="117.75" customHeight="1" outlineLevel="1">
      <c r="D833" s="1">
        <v>157</v>
      </c>
      <c r="AC833" s="348" t="s">
        <v>763</v>
      </c>
      <c r="AD833" s="885" t="str">
        <f>"Объем фактического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"&amp;PRD-2&amp;" год"</f>
        <v>Объем фактического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2024 год</v>
      </c>
      <c r="AE833" s="886"/>
      <c r="AF833" s="887"/>
      <c r="AG833" s="313" t="s">
        <v>619</v>
      </c>
      <c r="AH833" s="341" t="e">
        <f>#REF!</f>
        <v>#REF!</v>
      </c>
    </row>
    <row r="834" spans="4:43" ht="13.5" customHeight="1" outlineLevel="1">
      <c r="D834" s="1">
        <v>18</v>
      </c>
    </row>
    <row r="835" spans="4:43" ht="23.25" customHeight="1" outlineLevel="1">
      <c r="D835" s="1">
        <v>31</v>
      </c>
      <c r="AB835" s="892" t="e">
        <f>"6) корректировка необходимой валовой выручки с учётом показателей надёжности и качества оказываемых услуг в "&amp;PRD-2&amp;" году по расчёту экспертов составила "&amp;ROUND(#REF!,2)&amp;" тыс. руб. "</f>
        <v>#REF!</v>
      </c>
      <c r="AC835" s="781"/>
      <c r="AD835" s="781"/>
      <c r="AE835" s="781"/>
      <c r="AF835" s="781"/>
      <c r="AG835" s="781"/>
      <c r="AH835" s="781"/>
      <c r="AI835" s="781"/>
      <c r="AJ835" s="781"/>
      <c r="AK835" s="781"/>
      <c r="AL835" s="781"/>
      <c r="AM835" s="781"/>
      <c r="AN835" s="781"/>
      <c r="AO835" s="781"/>
      <c r="AP835" s="781"/>
      <c r="AQ835" s="781"/>
    </row>
    <row r="836" spans="4:43" ht="23.25" customHeight="1" outlineLevel="1">
      <c r="D836" s="1">
        <v>31</v>
      </c>
      <c r="AB836" s="896" t="s">
        <v>1591</v>
      </c>
      <c r="AC836" s="896"/>
      <c r="AD836" s="896"/>
      <c r="AE836" s="896"/>
      <c r="AF836" s="896"/>
      <c r="AG836" s="896"/>
      <c r="AH836" s="896"/>
      <c r="AI836" s="896"/>
      <c r="AJ836" s="896"/>
      <c r="AK836" s="896"/>
      <c r="AL836" s="896"/>
      <c r="AM836" s="896"/>
      <c r="AN836" s="896"/>
      <c r="AO836" s="896"/>
      <c r="AP836" s="896"/>
      <c r="AQ836" s="896"/>
    </row>
    <row r="837" spans="4:43" ht="77.25" customHeight="1" outlineLevel="1">
      <c r="D837" s="1">
        <v>103</v>
      </c>
      <c r="AB837" s="896" t="s">
        <v>1592</v>
      </c>
      <c r="AC837" s="896"/>
      <c r="AD837" s="896"/>
      <c r="AE837" s="896"/>
      <c r="AF837" s="896"/>
      <c r="AG837" s="896"/>
      <c r="AH837" s="896"/>
      <c r="AI837" s="896"/>
      <c r="AJ837" s="896"/>
      <c r="AK837" s="896"/>
      <c r="AL837" s="896"/>
      <c r="AM837" s="896"/>
      <c r="AN837" s="896"/>
      <c r="AO837" s="896"/>
      <c r="AP837" s="896"/>
      <c r="AQ837" s="896"/>
    </row>
    <row r="838" spans="4:43" ht="45.75" customHeight="1" outlineLevel="1">
      <c r="D838" s="1">
        <v>61</v>
      </c>
      <c r="AB838" s="896" t="s">
        <v>1593</v>
      </c>
      <c r="AC838" s="896"/>
      <c r="AD838" s="896"/>
      <c r="AE838" s="896"/>
      <c r="AF838" s="896"/>
      <c r="AG838" s="896"/>
      <c r="AH838" s="896"/>
      <c r="AI838" s="896"/>
      <c r="AJ838" s="896"/>
      <c r="AK838" s="896"/>
      <c r="AL838" s="896"/>
      <c r="AM838" s="896"/>
      <c r="AN838" s="896"/>
      <c r="AO838" s="896"/>
      <c r="AP838" s="896"/>
      <c r="AQ838" s="896"/>
    </row>
    <row r="839" spans="4:43" ht="53.25" customHeight="1" outlineLevel="1">
      <c r="D839" s="1">
        <v>71</v>
      </c>
      <c r="AB839" s="896" t="s">
        <v>1594</v>
      </c>
      <c r="AC839" s="896"/>
      <c r="AD839" s="896"/>
      <c r="AE839" s="896"/>
      <c r="AF839" s="896"/>
      <c r="AG839" s="896"/>
      <c r="AH839" s="896"/>
      <c r="AI839" s="896"/>
      <c r="AJ839" s="896"/>
      <c r="AK839" s="896"/>
      <c r="AL839" s="896"/>
      <c r="AM839" s="896"/>
      <c r="AN839" s="896"/>
      <c r="AO839" s="896"/>
      <c r="AP839" s="896"/>
      <c r="AQ839" s="896"/>
    </row>
    <row r="840" spans="4:43" ht="23.25" customHeight="1" outlineLevel="1">
      <c r="D840" s="1">
        <v>31</v>
      </c>
      <c r="AB840" s="896" t="str">
        <f>"Максимальный процент корректировки, определяемый для "&amp;PRD-2&amp;" года = 2 %."</f>
        <v>Максимальный процент корректировки, определяемый для 2024 года = 2 %.</v>
      </c>
      <c r="AC840" s="896"/>
      <c r="AD840" s="896"/>
      <c r="AE840" s="896"/>
      <c r="AF840" s="896"/>
      <c r="AG840" s="896"/>
      <c r="AH840" s="896"/>
      <c r="AI840" s="896"/>
      <c r="AJ840" s="896"/>
      <c r="AK840" s="896"/>
      <c r="AL840" s="896"/>
      <c r="AM840" s="896"/>
      <c r="AN840" s="896"/>
      <c r="AO840" s="896"/>
      <c r="AP840" s="896"/>
      <c r="AQ840" s="896"/>
    </row>
    <row r="841" spans="4:43" ht="43.5" customHeight="1" outlineLevel="1">
      <c r="D841" s="1">
        <v>58</v>
      </c>
      <c r="AB841" s="896" t="s">
        <v>1595</v>
      </c>
      <c r="AC841" s="896"/>
      <c r="AD841" s="896"/>
      <c r="AE841" s="896"/>
      <c r="AF841" s="896"/>
      <c r="AG841" s="896"/>
      <c r="AH841" s="896"/>
      <c r="AI841" s="896"/>
      <c r="AJ841" s="896"/>
      <c r="AK841" s="896"/>
      <c r="AL841" s="896"/>
      <c r="AM841" s="896"/>
      <c r="AN841" s="896"/>
      <c r="AO841" s="896"/>
      <c r="AP841" s="896"/>
      <c r="AQ841" s="896"/>
    </row>
    <row r="842" spans="4:43" ht="23.25" customHeight="1" outlineLevel="1">
      <c r="D842" s="1">
        <v>31</v>
      </c>
      <c r="AB842" s="896" t="s">
        <v>1596</v>
      </c>
      <c r="AC842" s="896"/>
      <c r="AD842" s="896"/>
      <c r="AE842" s="896"/>
      <c r="AF842" s="896"/>
      <c r="AG842" s="896"/>
      <c r="AH842" s="896"/>
      <c r="AI842" s="896"/>
      <c r="AJ842" s="896"/>
      <c r="AK842" s="896"/>
      <c r="AL842" s="896"/>
      <c r="AM842" s="896"/>
      <c r="AN842" s="896"/>
      <c r="AO842" s="896"/>
      <c r="AP842" s="896"/>
      <c r="AQ842" s="896"/>
    </row>
    <row r="843" spans="4:43" ht="23.25" customHeight="1" outlineLevel="1">
      <c r="D843" s="1">
        <v>31</v>
      </c>
      <c r="AB843" s="896" t="s">
        <v>1597</v>
      </c>
      <c r="AC843" s="896"/>
      <c r="AD843" s="896"/>
      <c r="AE843" s="896"/>
      <c r="AF843" s="896"/>
      <c r="AG843" s="896"/>
      <c r="AH843" s="896"/>
      <c r="AI843" s="896"/>
      <c r="AJ843" s="896"/>
      <c r="AK843" s="896"/>
      <c r="AL843" s="896"/>
      <c r="AM843" s="896"/>
      <c r="AN843" s="896"/>
      <c r="AO843" s="896"/>
      <c r="AP843" s="896"/>
      <c r="AQ843" s="896"/>
    </row>
    <row r="844" spans="4:43" ht="23.25" customHeight="1" outlineLevel="1">
      <c r="D844" s="1">
        <v>31</v>
      </c>
      <c r="AB844" s="896" t="s">
        <v>1598</v>
      </c>
      <c r="AC844" s="896"/>
      <c r="AD844" s="896"/>
      <c r="AE844" s="896"/>
      <c r="AF844" s="896"/>
      <c r="AG844" s="896"/>
      <c r="AH844" s="896"/>
      <c r="AI844" s="896"/>
      <c r="AJ844" s="896"/>
      <c r="AK844" s="896"/>
      <c r="AL844" s="896"/>
      <c r="AM844" s="896"/>
      <c r="AN844" s="896"/>
      <c r="AO844" s="896"/>
      <c r="AP844" s="896"/>
      <c r="AQ844" s="896"/>
    </row>
    <row r="845" spans="4:43" ht="23.25" customHeight="1" outlineLevel="1">
      <c r="D845" s="1">
        <v>31</v>
      </c>
      <c r="AB845" s="896" t="s">
        <v>1598</v>
      </c>
      <c r="AC845" s="896"/>
      <c r="AD845" s="896"/>
      <c r="AE845" s="896"/>
      <c r="AF845" s="896"/>
      <c r="AG845" s="896"/>
      <c r="AH845" s="896"/>
      <c r="AI845" s="896"/>
      <c r="AJ845" s="896"/>
      <c r="AK845" s="896"/>
      <c r="AL845" s="896"/>
      <c r="AM845" s="896"/>
      <c r="AN845" s="896"/>
      <c r="AO845" s="896"/>
      <c r="AP845" s="896"/>
      <c r="AQ845" s="896"/>
    </row>
    <row r="846" spans="4:43" ht="23.25" customHeight="1" outlineLevel="1">
      <c r="D846" s="1">
        <v>31</v>
      </c>
      <c r="AB846" s="896" t="s">
        <v>1598</v>
      </c>
      <c r="AC846" s="896"/>
      <c r="AD846" s="896"/>
      <c r="AE846" s="896"/>
      <c r="AF846" s="896"/>
      <c r="AG846" s="896"/>
      <c r="AH846" s="896"/>
      <c r="AI846" s="896"/>
      <c r="AJ846" s="896"/>
      <c r="AK846" s="896"/>
      <c r="AL846" s="896"/>
      <c r="AM846" s="896"/>
      <c r="AN846" s="896"/>
      <c r="AO846" s="896"/>
      <c r="AP846" s="896"/>
      <c r="AQ846" s="896"/>
    </row>
    <row r="847" spans="4:43" ht="23.25" customHeight="1" outlineLevel="1">
      <c r="D847" s="1">
        <v>31</v>
      </c>
    </row>
    <row r="848" spans="4:43" ht="13.5" customHeight="1" outlineLevel="1">
      <c r="D848" s="1">
        <v>18</v>
      </c>
      <c r="AB848" s="347"/>
      <c r="AC848" s="347"/>
      <c r="AD848" s="347"/>
      <c r="AE848" s="347"/>
      <c r="AF848" s="347"/>
      <c r="AG848" s="347"/>
      <c r="AH848" s="347"/>
      <c r="AI848" s="347"/>
      <c r="AJ848" s="347"/>
      <c r="AK848" s="347"/>
      <c r="AL848" s="347"/>
      <c r="AM848" s="347"/>
      <c r="AN848" s="347"/>
      <c r="AO848" s="347"/>
      <c r="AP848" s="347"/>
      <c r="AQ848" s="347"/>
    </row>
    <row r="849" spans="4:43" ht="13.5" customHeight="1" outlineLevel="1">
      <c r="D849" s="1">
        <v>18</v>
      </c>
      <c r="AB849" s="347"/>
      <c r="AC849" s="347"/>
      <c r="AD849" s="347"/>
      <c r="AE849" s="347"/>
      <c r="AF849" s="347"/>
      <c r="AG849" s="347"/>
      <c r="AH849" s="347"/>
      <c r="AI849" s="347"/>
      <c r="AJ849" s="347"/>
      <c r="AK849" s="347"/>
      <c r="AL849" s="347"/>
      <c r="AM849" s="347"/>
      <c r="AN849" s="347"/>
      <c r="AO849" s="347"/>
      <c r="AP849" s="347"/>
      <c r="AQ849" s="347"/>
    </row>
    <row r="850" spans="4:43" ht="13.5" customHeight="1" outlineLevel="1">
      <c r="D850" s="1">
        <v>18</v>
      </c>
      <c r="AB850" s="347"/>
      <c r="AC850" s="347"/>
      <c r="AD850" s="347"/>
      <c r="AE850" s="347"/>
      <c r="AF850" s="347"/>
      <c r="AG850" s="347"/>
      <c r="AH850" s="347"/>
      <c r="AI850" s="347"/>
      <c r="AJ850" s="347"/>
      <c r="AK850" s="347"/>
      <c r="AL850" s="347"/>
      <c r="AM850" s="347"/>
      <c r="AN850" s="347"/>
      <c r="AO850" s="347"/>
      <c r="AP850" s="347"/>
      <c r="AQ850" s="347"/>
    </row>
    <row r="851" spans="4:43" ht="13.5" customHeight="1" outlineLevel="1">
      <c r="D851" s="1">
        <v>18</v>
      </c>
      <c r="AB851" s="347"/>
      <c r="AC851" s="347"/>
      <c r="AD851" s="347"/>
      <c r="AE851" s="347"/>
      <c r="AF851" s="347"/>
      <c r="AG851" s="347"/>
      <c r="AH851" s="347"/>
      <c r="AI851" s="347"/>
      <c r="AJ851" s="347"/>
      <c r="AK851" s="347"/>
      <c r="AL851" s="347"/>
      <c r="AM851" s="347"/>
      <c r="AN851" s="347"/>
      <c r="AO851" s="347"/>
      <c r="AP851" s="347"/>
      <c r="AQ851" s="347"/>
    </row>
    <row r="852" spans="4:43" ht="13.5" customHeight="1" outlineLevel="1">
      <c r="D852" s="1">
        <v>18</v>
      </c>
      <c r="AB852" s="347"/>
      <c r="AC852" s="347"/>
      <c r="AD852" s="347"/>
      <c r="AE852" s="347"/>
      <c r="AF852" s="347"/>
      <c r="AG852" s="347"/>
      <c r="AH852" s="347"/>
      <c r="AI852" s="347"/>
      <c r="AJ852" s="347"/>
      <c r="AK852" s="347"/>
      <c r="AL852" s="347"/>
      <c r="AM852" s="347"/>
      <c r="AN852" s="347"/>
      <c r="AO852" s="347"/>
      <c r="AP852" s="347"/>
      <c r="AQ852" s="347"/>
    </row>
    <row r="853" spans="4:43" ht="13.5" customHeight="1" outlineLevel="1">
      <c r="D853" s="1">
        <v>18</v>
      </c>
      <c r="AB853" s="347"/>
      <c r="AC853" s="347"/>
      <c r="AD853" s="347"/>
      <c r="AE853" s="347"/>
      <c r="AF853" s="347"/>
      <c r="AG853" s="347"/>
      <c r="AH853" s="347"/>
      <c r="AI853" s="347"/>
      <c r="AJ853" s="347"/>
      <c r="AK853" s="347"/>
      <c r="AL853" s="347"/>
      <c r="AM853" s="347"/>
      <c r="AN853" s="347"/>
      <c r="AO853" s="347"/>
      <c r="AP853" s="347"/>
      <c r="AQ853" s="347"/>
    </row>
    <row r="854" spans="4:43" ht="13.5" customHeight="1" outlineLevel="1">
      <c r="D854" s="1">
        <v>18</v>
      </c>
      <c r="AB854" s="347"/>
      <c r="AC854" s="347"/>
      <c r="AD854" s="347"/>
      <c r="AE854" s="347"/>
      <c r="AF854" s="347"/>
      <c r="AG854" s="347"/>
      <c r="AH854" s="347"/>
      <c r="AI854" s="347"/>
      <c r="AJ854" s="347"/>
      <c r="AK854" s="347"/>
      <c r="AL854" s="347"/>
      <c r="AM854" s="347"/>
      <c r="AN854" s="347"/>
      <c r="AO854" s="347"/>
      <c r="AP854" s="347"/>
      <c r="AQ854" s="347"/>
    </row>
    <row r="855" spans="4:43" ht="13.5" customHeight="1" outlineLevel="1">
      <c r="D855" s="1">
        <v>18</v>
      </c>
      <c r="AB855" s="347"/>
      <c r="AC855" s="347"/>
      <c r="AD855" s="347"/>
      <c r="AE855" s="347"/>
      <c r="AF855" s="347"/>
      <c r="AG855" s="347"/>
      <c r="AH855" s="347"/>
      <c r="AI855" s="347"/>
      <c r="AJ855" s="347"/>
      <c r="AK855" s="347"/>
      <c r="AL855" s="347"/>
      <c r="AM855" s="347"/>
      <c r="AN855" s="347"/>
      <c r="AO855" s="347"/>
      <c r="AP855" s="347"/>
      <c r="AQ855" s="347"/>
    </row>
    <row r="856" spans="4:43" ht="13.5" customHeight="1" outlineLevel="1">
      <c r="D856" s="1">
        <v>18</v>
      </c>
      <c r="AB856" s="347"/>
      <c r="AC856" s="347"/>
      <c r="AD856" s="347"/>
      <c r="AE856" s="347"/>
      <c r="AF856" s="347"/>
      <c r="AG856" s="347"/>
      <c r="AH856" s="347"/>
      <c r="AI856" s="347"/>
      <c r="AJ856" s="347"/>
      <c r="AK856" s="347"/>
      <c r="AL856" s="347"/>
      <c r="AM856" s="347"/>
      <c r="AN856" s="347"/>
      <c r="AO856" s="347"/>
      <c r="AP856" s="347"/>
      <c r="AQ856" s="347"/>
    </row>
    <row r="857" spans="4:43" ht="13.5" customHeight="1" outlineLevel="1">
      <c r="D857" s="1">
        <v>18</v>
      </c>
      <c r="AB857" s="347"/>
      <c r="AC857" s="347"/>
      <c r="AD857" s="347"/>
      <c r="AE857" s="347"/>
      <c r="AF857" s="347"/>
      <c r="AG857" s="347"/>
      <c r="AH857" s="347"/>
      <c r="AI857" s="347"/>
      <c r="AJ857" s="347"/>
      <c r="AK857" s="347"/>
      <c r="AL857" s="347"/>
      <c r="AM857" s="347"/>
      <c r="AN857" s="347"/>
      <c r="AO857" s="347"/>
      <c r="AP857" s="347"/>
      <c r="AQ857" s="347"/>
    </row>
    <row r="858" spans="4:43" ht="13.5" customHeight="1" outlineLevel="1">
      <c r="D858" s="1">
        <v>18</v>
      </c>
      <c r="AB858" s="347"/>
      <c r="AC858" s="347"/>
      <c r="AD858" s="347"/>
      <c r="AE858" s="347"/>
      <c r="AF858" s="347"/>
      <c r="AG858" s="347"/>
      <c r="AH858" s="347"/>
      <c r="AI858" s="347"/>
      <c r="AJ858" s="347"/>
      <c r="AK858" s="347"/>
      <c r="AL858" s="347"/>
      <c r="AM858" s="347"/>
      <c r="AN858" s="347"/>
      <c r="AO858" s="347"/>
      <c r="AP858" s="347"/>
      <c r="AQ858" s="347"/>
    </row>
    <row r="859" spans="4:43" ht="13.5" customHeight="1" outlineLevel="1">
      <c r="D859" s="1">
        <v>18</v>
      </c>
      <c r="AB859" s="347"/>
      <c r="AC859" s="347"/>
      <c r="AD859" s="347"/>
      <c r="AE859" s="347"/>
      <c r="AF859" s="347"/>
      <c r="AG859" s="347"/>
      <c r="AH859" s="347"/>
      <c r="AI859" s="347"/>
      <c r="AJ859" s="347"/>
      <c r="AK859" s="347"/>
      <c r="AL859" s="347"/>
      <c r="AM859" s="347"/>
      <c r="AN859" s="347"/>
      <c r="AO859" s="347"/>
      <c r="AP859" s="347"/>
      <c r="AQ859" s="347"/>
    </row>
    <row r="860" spans="4:43" ht="13.5" customHeight="1" outlineLevel="1">
      <c r="D860" s="1">
        <v>18</v>
      </c>
      <c r="AB860" s="347"/>
      <c r="AC860" s="347"/>
      <c r="AD860" s="347"/>
      <c r="AE860" s="347"/>
      <c r="AF860" s="347"/>
      <c r="AG860" s="347"/>
      <c r="AH860" s="347"/>
      <c r="AI860" s="347"/>
      <c r="AJ860" s="347"/>
      <c r="AK860" s="347"/>
      <c r="AL860" s="347"/>
      <c r="AM860" s="347"/>
      <c r="AN860" s="347"/>
      <c r="AO860" s="347"/>
      <c r="AP860" s="347"/>
      <c r="AQ860" s="347"/>
    </row>
    <row r="861" spans="4:43" ht="13.5" customHeight="1" outlineLevel="1">
      <c r="D861" s="1">
        <v>18</v>
      </c>
      <c r="AB861" s="347"/>
      <c r="AC861" s="347"/>
      <c r="AD861" s="347"/>
      <c r="AE861" s="347"/>
      <c r="AF861" s="347"/>
      <c r="AG861" s="347"/>
      <c r="AH861" s="347"/>
      <c r="AI861" s="347"/>
      <c r="AJ861" s="347"/>
      <c r="AK861" s="347"/>
      <c r="AL861" s="347"/>
      <c r="AM861" s="347"/>
      <c r="AN861" s="347"/>
      <c r="AO861" s="347"/>
      <c r="AP861" s="347"/>
      <c r="AQ861" s="347"/>
    </row>
    <row r="862" spans="4:43" ht="13.5" customHeight="1" outlineLevel="1">
      <c r="D862" s="1">
        <v>18</v>
      </c>
      <c r="AB862" s="347"/>
      <c r="AC862" s="347"/>
      <c r="AD862" s="347"/>
      <c r="AE862" s="347"/>
      <c r="AF862" s="347"/>
      <c r="AG862" s="347"/>
      <c r="AH862" s="347"/>
      <c r="AI862" s="347"/>
      <c r="AJ862" s="347"/>
      <c r="AK862" s="347"/>
      <c r="AL862" s="347"/>
      <c r="AM862" s="347"/>
      <c r="AN862" s="347"/>
      <c r="AO862" s="347"/>
      <c r="AP862" s="347"/>
      <c r="AQ862" s="347"/>
    </row>
    <row r="863" spans="4:43" ht="13.5" customHeight="1" outlineLevel="1">
      <c r="D863" s="1">
        <v>18</v>
      </c>
      <c r="AB863" s="347"/>
      <c r="AC863" s="347"/>
      <c r="AD863" s="347"/>
      <c r="AE863" s="347"/>
      <c r="AF863" s="347"/>
      <c r="AG863" s="347"/>
      <c r="AH863" s="347"/>
      <c r="AI863" s="347"/>
      <c r="AJ863" s="347"/>
      <c r="AK863" s="347"/>
      <c r="AL863" s="347"/>
      <c r="AM863" s="347"/>
      <c r="AN863" s="347"/>
      <c r="AO863" s="347"/>
      <c r="AP863" s="347"/>
      <c r="AQ863" s="347"/>
    </row>
    <row r="864" spans="4:43" ht="13.5" customHeight="1" outlineLevel="1">
      <c r="D864" s="1">
        <v>18</v>
      </c>
      <c r="AB864" s="347"/>
      <c r="AC864" s="347"/>
      <c r="AD864" s="347"/>
      <c r="AE864" s="347"/>
      <c r="AF864" s="347"/>
      <c r="AG864" s="347"/>
      <c r="AH864" s="347"/>
      <c r="AI864" s="347"/>
      <c r="AJ864" s="347"/>
      <c r="AK864" s="347"/>
      <c r="AL864" s="347"/>
      <c r="AM864" s="347"/>
      <c r="AN864" s="347"/>
      <c r="AO864" s="347"/>
      <c r="AP864" s="347"/>
      <c r="AQ864" s="347"/>
    </row>
    <row r="865" spans="4:43" ht="13.5" customHeight="1" outlineLevel="1">
      <c r="D865" s="1">
        <v>18</v>
      </c>
      <c r="AB865" s="347"/>
      <c r="AC865" s="347"/>
      <c r="AD865" s="347"/>
      <c r="AE865" s="347"/>
      <c r="AF865" s="347"/>
      <c r="AG865" s="347"/>
      <c r="AH865" s="347"/>
      <c r="AI865" s="347"/>
      <c r="AJ865" s="347"/>
      <c r="AK865" s="347"/>
      <c r="AL865" s="347"/>
      <c r="AM865" s="347"/>
      <c r="AN865" s="347"/>
      <c r="AO865" s="347"/>
      <c r="AP865" s="347"/>
      <c r="AQ865" s="347"/>
    </row>
    <row r="866" spans="4:43" ht="13.5" customHeight="1" outlineLevel="1">
      <c r="D866">
        <v>18</v>
      </c>
    </row>
    <row r="867" spans="4:43" ht="13.5" customHeight="1" outlineLevel="1">
      <c r="D867">
        <v>18</v>
      </c>
    </row>
    <row r="868" spans="4:43" ht="23.25" customHeight="1" outlineLevel="1">
      <c r="D868" s="1">
        <v>31</v>
      </c>
      <c r="AB868" s="892" t="s">
        <v>1599</v>
      </c>
      <c r="AC868" s="781"/>
      <c r="AD868" s="781"/>
      <c r="AE868" s="781"/>
      <c r="AF868" s="781"/>
      <c r="AG868" s="781"/>
      <c r="AH868" s="781"/>
      <c r="AI868" s="781"/>
      <c r="AJ868" s="781"/>
      <c r="AK868" s="781"/>
      <c r="AL868" s="781"/>
      <c r="AM868" s="781"/>
      <c r="AN868" s="781"/>
      <c r="AO868" s="781"/>
      <c r="AP868" s="781"/>
      <c r="AQ868" s="781"/>
    </row>
    <row r="869" spans="4:43" ht="17.25" customHeight="1" outlineLevel="1">
      <c r="D869" s="1">
        <v>23</v>
      </c>
      <c r="AC869" s="349" t="s">
        <v>536</v>
      </c>
      <c r="AD869" s="995" t="s">
        <v>1012</v>
      </c>
      <c r="AE869" s="996"/>
      <c r="AF869" s="997"/>
      <c r="AG869" s="998"/>
      <c r="AH869" s="999"/>
      <c r="AI869" s="999"/>
      <c r="AJ869" s="999"/>
    </row>
    <row r="870" spans="4:43" ht="17.25" customHeight="1" outlineLevel="1">
      <c r="D870" s="1">
        <v>23</v>
      </c>
      <c r="AC870" s="313" t="s">
        <v>705</v>
      </c>
      <c r="AD870" s="986" t="s">
        <v>1013</v>
      </c>
      <c r="AE870" s="986"/>
      <c r="AF870" s="986"/>
      <c r="AG870" s="986"/>
      <c r="AH870" s="986"/>
      <c r="AI870" s="313" t="s">
        <v>619</v>
      </c>
      <c r="AJ870" s="341">
        <f>IFERROR(#REF!,0)</f>
        <v>0</v>
      </c>
    </row>
    <row r="871" spans="4:43" ht="17.25" customHeight="1" outlineLevel="1">
      <c r="D871" s="1">
        <v>23</v>
      </c>
      <c r="AC871" s="313" t="s">
        <v>1600</v>
      </c>
      <c r="AD871" s="986" t="s">
        <v>1014</v>
      </c>
      <c r="AE871" s="986"/>
      <c r="AF871" s="986"/>
      <c r="AG871" s="986"/>
      <c r="AH871" s="986"/>
      <c r="AI871" s="313" t="s">
        <v>619</v>
      </c>
      <c r="AJ871" s="341">
        <f>IFERROR(#REF!,0)</f>
        <v>0</v>
      </c>
    </row>
    <row r="872" spans="4:43" ht="17.25" customHeight="1" outlineLevel="1">
      <c r="D872" s="1">
        <v>23</v>
      </c>
      <c r="AC872" s="313" t="s">
        <v>1601</v>
      </c>
      <c r="AD872" s="986" t="s">
        <v>1015</v>
      </c>
      <c r="AE872" s="986"/>
      <c r="AF872" s="986"/>
      <c r="AG872" s="986"/>
      <c r="AH872" s="986"/>
      <c r="AI872" s="313" t="s">
        <v>619</v>
      </c>
      <c r="AJ872" s="341">
        <f>IFERROR(#REF!,0)</f>
        <v>0</v>
      </c>
    </row>
    <row r="873" spans="4:43" ht="17.25" customHeight="1" outlineLevel="1">
      <c r="D873" s="1">
        <v>23</v>
      </c>
      <c r="AC873" s="313" t="s">
        <v>1602</v>
      </c>
      <c r="AD873" s="986" t="s">
        <v>1016</v>
      </c>
      <c r="AE873" s="986"/>
      <c r="AF873" s="986"/>
      <c r="AG873" s="986"/>
      <c r="AH873" s="986"/>
      <c r="AI873" s="313" t="s">
        <v>619</v>
      </c>
      <c r="AJ873" s="341">
        <f>IFERROR(#REF!,0)</f>
        <v>0</v>
      </c>
    </row>
    <row r="874" spans="4:43" ht="31.5" customHeight="1" outlineLevel="1">
      <c r="D874" s="1">
        <v>42</v>
      </c>
      <c r="AC874" s="313" t="s">
        <v>1603</v>
      </c>
      <c r="AD874" s="986" t="s">
        <v>1017</v>
      </c>
      <c r="AE874" s="986"/>
      <c r="AF874" s="986"/>
      <c r="AG874" s="986"/>
      <c r="AH874" s="986"/>
      <c r="AI874" s="313" t="s">
        <v>619</v>
      </c>
      <c r="AJ874" s="341">
        <f>IFERROR(#REF!,0)</f>
        <v>0</v>
      </c>
    </row>
    <row r="875" spans="4:43" ht="19.5" customHeight="1" outlineLevel="1">
      <c r="D875" s="1">
        <v>26</v>
      </c>
      <c r="AC875" s="313" t="s">
        <v>1604</v>
      </c>
      <c r="AD875" s="986" t="s">
        <v>1018</v>
      </c>
      <c r="AE875" s="986"/>
      <c r="AF875" s="986"/>
      <c r="AG875" s="986"/>
      <c r="AH875" s="986"/>
      <c r="AI875" s="313" t="s">
        <v>619</v>
      </c>
      <c r="AJ875" s="341">
        <f>IFERROR(#REF!,0)</f>
        <v>0</v>
      </c>
    </row>
    <row r="876" spans="4:43" ht="31.5" customHeight="1" outlineLevel="1">
      <c r="D876" s="1">
        <v>42</v>
      </c>
      <c r="AC876" s="313" t="s">
        <v>1605</v>
      </c>
      <c r="AD876" s="986" t="s">
        <v>1019</v>
      </c>
      <c r="AE876" s="986"/>
      <c r="AF876" s="986"/>
      <c r="AG876" s="986"/>
      <c r="AH876" s="986"/>
      <c r="AI876" s="313" t="s">
        <v>619</v>
      </c>
      <c r="AJ876" s="341">
        <f>IFERROR(#REF!,0)</f>
        <v>0</v>
      </c>
    </row>
    <row r="877" spans="4:43" ht="15.75" customHeight="1" outlineLevel="2">
      <c r="D877" s="1">
        <v>21</v>
      </c>
      <c r="AC877" s="313" t="s">
        <v>1606</v>
      </c>
      <c r="AD877" s="986" t="s">
        <v>1020</v>
      </c>
      <c r="AE877" s="986"/>
      <c r="AF877" s="986"/>
      <c r="AG877" s="986"/>
      <c r="AH877" s="986"/>
      <c r="AI877" s="313" t="s">
        <v>619</v>
      </c>
      <c r="AJ877" s="341">
        <f>IFERROR(#REF!,0)</f>
        <v>0</v>
      </c>
    </row>
    <row r="878" spans="4:43" ht="15" customHeight="1">
      <c r="D878" s="1">
        <v>20</v>
      </c>
    </row>
    <row r="879" spans="4:43" ht="17.25" customHeight="1">
      <c r="D879" s="1">
        <v>23</v>
      </c>
      <c r="AA879" s="781"/>
      <c r="AB879" s="940" t="s">
        <v>1607</v>
      </c>
      <c r="AC879" s="781"/>
      <c r="AD879" s="781"/>
      <c r="AE879" s="781"/>
      <c r="AF879" s="781"/>
      <c r="AG879" s="781"/>
      <c r="AH879" s="781"/>
      <c r="AI879" s="781"/>
      <c r="AJ879" s="781"/>
      <c r="AK879" s="781"/>
      <c r="AL879" s="781"/>
      <c r="AM879" s="781"/>
      <c r="AN879" s="781"/>
      <c r="AO879" s="781"/>
      <c r="AP879" s="781"/>
      <c r="AQ879" s="781"/>
    </row>
    <row r="880" spans="4:43" ht="23.25" customHeight="1">
      <c r="D880" s="1">
        <v>31</v>
      </c>
      <c r="AA880" s="781"/>
      <c r="AB880" s="781"/>
      <c r="AC880" s="781"/>
      <c r="AD880" s="781"/>
      <c r="AE880" s="781"/>
      <c r="AF880" s="781"/>
      <c r="AG880" s="781"/>
      <c r="AH880" s="781"/>
      <c r="AI880" s="781"/>
      <c r="AJ880" s="781"/>
      <c r="AK880" s="781"/>
      <c r="AL880" s="781"/>
      <c r="AM880" s="781"/>
      <c r="AN880" s="781"/>
      <c r="AO880" s="781"/>
      <c r="AP880" s="781"/>
      <c r="AQ880" s="781"/>
    </row>
    <row r="881" spans="4:43" ht="31.5" customHeight="1">
      <c r="D881" s="1">
        <v>42</v>
      </c>
      <c r="AB881" s="896" t="s">
        <v>1608</v>
      </c>
      <c r="AC881" s="896"/>
      <c r="AD881" s="896"/>
      <c r="AE881" s="896"/>
      <c r="AF881" s="896"/>
      <c r="AG881" s="896"/>
      <c r="AH881" s="896"/>
      <c r="AI881" s="896"/>
      <c r="AJ881" s="896"/>
      <c r="AK881" s="896"/>
      <c r="AL881" s="896"/>
      <c r="AM881" s="896"/>
      <c r="AN881" s="896"/>
      <c r="AO881" s="896"/>
      <c r="AP881" s="896"/>
      <c r="AQ881" s="896"/>
    </row>
    <row r="882" spans="4:43" ht="17.25" customHeight="1">
      <c r="D882" s="1">
        <v>23</v>
      </c>
      <c r="AB882" s="896" t="str">
        <f>"производства и поставок электрической энергии (мощности) по "&amp;Титульный!AC23&amp;" на "&amp;PRD&amp;" год""утверждённому приказом ФАС России от"</f>
        <v>производства и поставок электрической энергии (мощности) по Республика Алтай на 2026 год"утверждённому приказом ФАС России от</v>
      </c>
      <c r="AC882" s="896"/>
      <c r="AD882" s="896"/>
      <c r="AE882" s="896"/>
      <c r="AF882" s="896"/>
      <c r="AG882" s="896"/>
      <c r="AH882" s="896"/>
      <c r="AI882" s="896"/>
      <c r="AJ882" s="896"/>
      <c r="AK882" s="896"/>
      <c r="AL882" s="896"/>
      <c r="AM882" s="953"/>
      <c r="AN882" s="953"/>
      <c r="AO882" s="307" t="s">
        <v>1327</v>
      </c>
      <c r="AP882" s="953"/>
      <c r="AQ882" s="953"/>
    </row>
    <row r="883" spans="4:43" ht="73.5" customHeight="1">
      <c r="D883" s="1">
        <v>98</v>
      </c>
      <c r="AB883" s="896" t="s">
        <v>1609</v>
      </c>
      <c r="AC883" s="896"/>
      <c r="AD883" s="896"/>
      <c r="AE883" s="896"/>
      <c r="AF883" s="896"/>
      <c r="AG883" s="896"/>
      <c r="AH883" s="896"/>
      <c r="AI883" s="896"/>
      <c r="AJ883" s="896"/>
      <c r="AK883" s="896"/>
      <c r="AL883" s="896"/>
      <c r="AM883" s="896"/>
      <c r="AN883" s="896"/>
      <c r="AO883" s="896"/>
      <c r="AP883" s="896"/>
      <c r="AQ883" s="896"/>
    </row>
    <row r="884" spans="4:43" ht="41.25" customHeight="1">
      <c r="D884" s="1">
        <v>55</v>
      </c>
      <c r="AB884" s="896" t="s">
        <v>1610</v>
      </c>
      <c r="AC884" s="896"/>
      <c r="AD884" s="896"/>
      <c r="AE884" s="896"/>
      <c r="AF884" s="896"/>
      <c r="AG884" s="896"/>
      <c r="AH884" s="896"/>
      <c r="AI884" s="896"/>
      <c r="AJ884" s="896"/>
      <c r="AK884" s="896"/>
      <c r="AL884" s="896"/>
      <c r="AM884" s="896"/>
      <c r="AN884" s="896"/>
      <c r="AO884" s="896"/>
      <c r="AP884" s="896"/>
      <c r="AQ884" s="896"/>
    </row>
    <row r="885" spans="4:43" ht="35.25" customHeight="1">
      <c r="D885" s="1">
        <v>47</v>
      </c>
      <c r="AC885" s="976"/>
      <c r="AD885" s="976"/>
      <c r="AE885" s="976"/>
      <c r="AF885" s="976"/>
      <c r="AG885" s="976"/>
      <c r="AH885" s="350" t="str">
        <f>"Утверждено "&amp;PRD-2&amp;" год"</f>
        <v>Утверждено 2024 год</v>
      </c>
      <c r="AI885" s="350" t="str">
        <f>"Факт "&amp;PRD-2&amp;" год"</f>
        <v>Факт 2024 год</v>
      </c>
      <c r="AJ885" s="350" t="s">
        <v>942</v>
      </c>
      <c r="AK885" s="350" t="str">
        <f>"Утверждено "&amp;PRD-1&amp;" год"</f>
        <v>Утверждено 2025 год</v>
      </c>
      <c r="AL885" s="350" t="str">
        <f>"Утверждено "&amp;PRD&amp;" год"</f>
        <v>Утверждено 2026 год</v>
      </c>
      <c r="AM885" s="350" t="s">
        <v>942</v>
      </c>
    </row>
    <row r="886" spans="4:43" ht="23.25" customHeight="1">
      <c r="D886" s="1">
        <v>31</v>
      </c>
      <c r="AC886" s="313" t="s">
        <v>530</v>
      </c>
      <c r="AD886" s="900" t="s">
        <v>933</v>
      </c>
      <c r="AE886" s="900"/>
      <c r="AF886" s="900"/>
      <c r="AG886" s="312" t="s">
        <v>916</v>
      </c>
      <c r="AH886" s="341" t="e">
        <f>#REF!</f>
        <v>#REF!</v>
      </c>
      <c r="AI886" s="341" t="e">
        <f>#REF!</f>
        <v>#REF!</v>
      </c>
      <c r="AJ886" s="342">
        <f>IFERROR(IF(AH886=0,0,AI886/AH886),0)</f>
        <v>0</v>
      </c>
      <c r="AK886" s="341" t="e">
        <f>#REF!</f>
        <v>#REF!</v>
      </c>
      <c r="AL886" s="341" t="e">
        <f>#REF!</f>
        <v>#REF!</v>
      </c>
      <c r="AM886" s="342">
        <f>IFERROR(IF(AK886=0,0,AL886/AK886),0)</f>
        <v>0</v>
      </c>
    </row>
    <row r="887" spans="4:43" ht="23.25" customHeight="1">
      <c r="D887" s="1">
        <v>31</v>
      </c>
      <c r="AC887" s="313" t="s">
        <v>927</v>
      </c>
      <c r="AD887" s="900" t="s">
        <v>1032</v>
      </c>
      <c r="AE887" s="900"/>
      <c r="AF887" s="900"/>
      <c r="AG887" s="312" t="s">
        <v>1033</v>
      </c>
      <c r="AH887" s="341" t="e">
        <f>#REF!</f>
        <v>#REF!</v>
      </c>
      <c r="AI887" s="341" t="e">
        <f>#REF!</f>
        <v>#REF!</v>
      </c>
      <c r="AJ887" s="342">
        <f>IFERROR(IF(AH887=0,0,AI887/AH887),0)</f>
        <v>0</v>
      </c>
      <c r="AK887" s="341" t="e">
        <f>#REF!</f>
        <v>#REF!</v>
      </c>
      <c r="AL887" s="341" t="e">
        <f>#REF!</f>
        <v>#REF!</v>
      </c>
      <c r="AM887" s="342">
        <f>IFERROR(IF(AK887=0,0,AL887/AK887),0)</f>
        <v>0</v>
      </c>
    </row>
    <row r="888" spans="4:43" ht="33" customHeight="1">
      <c r="D888" s="1">
        <v>44</v>
      </c>
      <c r="AC888" s="313" t="s">
        <v>1021</v>
      </c>
      <c r="AD888" s="900" t="s">
        <v>1034</v>
      </c>
      <c r="AE888" s="900"/>
      <c r="AF888" s="900"/>
      <c r="AG888" s="313" t="s">
        <v>1035</v>
      </c>
      <c r="AH888" s="341" t="e">
        <f>#REF!</f>
        <v>#REF!</v>
      </c>
      <c r="AI888" s="341" t="e">
        <f>#REF!</f>
        <v>#REF!</v>
      </c>
      <c r="AJ888" s="342">
        <f>IFERROR(IF(AH888=0,0,AI888/AH888),0)</f>
        <v>0</v>
      </c>
      <c r="AK888" s="341" t="e">
        <f>#REF!</f>
        <v>#REF!</v>
      </c>
      <c r="AL888" s="341" t="e">
        <f>#REF!</f>
        <v>#REF!</v>
      </c>
      <c r="AM888" s="342">
        <f>IFERROR(IF(AK888=0,0,AL888/AK888),0)</f>
        <v>0</v>
      </c>
    </row>
    <row r="889" spans="4:43" ht="23.25" customHeight="1">
      <c r="D889" s="1">
        <v>31</v>
      </c>
    </row>
    <row r="890" spans="4:43" ht="41.25" customHeight="1">
      <c r="D890" s="1">
        <v>55</v>
      </c>
      <c r="AB890" s="896" t="e">
        <f>"Таким образом, экономически обоснованными признаны затраты на электроэнергию, приобретаемую в целях компенсации потерь, в размере "&amp;ROUND(AL888,2)&amp;" тыс. руб. Изменение потерь по отношению к утверждённым на "&amp;PRD-1&amp;" год составило ("&amp;ROUND(AM888*100-100,2)&amp;"%)."</f>
        <v>#REF!</v>
      </c>
      <c r="AC890" s="896"/>
      <c r="AD890" s="896"/>
      <c r="AE890" s="896"/>
      <c r="AF890" s="896"/>
      <c r="AG890" s="896"/>
      <c r="AH890" s="896"/>
      <c r="AI890" s="896"/>
      <c r="AJ890" s="896"/>
      <c r="AK890" s="896"/>
      <c r="AL890" s="896"/>
      <c r="AM890" s="896"/>
      <c r="AN890" s="896"/>
      <c r="AO890" s="896"/>
      <c r="AP890" s="896"/>
      <c r="AQ890" s="896"/>
    </row>
    <row r="891" spans="4:43" ht="23.25" customHeight="1">
      <c r="D891" s="1">
        <v>31</v>
      </c>
    </row>
    <row r="892" spans="4:43" ht="11.25" hidden="1" customHeight="1">
      <c r="D892" s="1">
        <v>0</v>
      </c>
    </row>
    <row r="893" spans="4:43" ht="33.75" customHeight="1">
      <c r="D893" s="1">
        <v>45</v>
      </c>
      <c r="AB893" s="1007" t="s">
        <v>1611</v>
      </c>
      <c r="AC893" s="781"/>
      <c r="AD893" s="781"/>
      <c r="AE893" s="781"/>
      <c r="AF893" s="781"/>
      <c r="AG893" s="781"/>
      <c r="AH893" s="781"/>
      <c r="AI893" s="781"/>
      <c r="AJ893" s="781"/>
      <c r="AK893" s="781"/>
      <c r="AL893" s="781"/>
      <c r="AM893" s="781"/>
      <c r="AN893" s="781"/>
      <c r="AO893" s="781"/>
      <c r="AP893" s="781"/>
      <c r="AQ893" s="781"/>
    </row>
    <row r="894" spans="4:43" ht="45.75" customHeight="1">
      <c r="D894" s="1">
        <v>61</v>
      </c>
      <c r="AB894" s="992" t="str">
        <f>"В соответствии с проведённым анализом представленных в составе тарифного дела "&amp;'Форма раскрытия информации'!AD31&amp;" материалов (бухгалтерская и налоговая отчётность за "&amp;PRD-2&amp;" год, подписанные руководителем и заверенные печатью), экспертами сделан вывод о достоверности данных за "&amp;PRD-2&amp;" год, указанных в предложениях предприятия, бухгалтерской отчётности."</f>
        <v>В соответствии с проведённым анализом представленных в составе тарифного дела МУП "Горэлектросети" материалов (бухгалтерская и налоговая отчётность за 2024 год, подписанные руководителем и заверенные печатью), экспертами сделан вывод о достоверности данных за 2024 год, указанных в предложениях предприятия, бухгалтерской отчётности.</v>
      </c>
      <c r="AC894" s="992"/>
      <c r="AD894" s="992"/>
      <c r="AE894" s="992"/>
      <c r="AF894" s="992"/>
      <c r="AG894" s="992"/>
      <c r="AH894" s="992"/>
      <c r="AI894" s="992"/>
      <c r="AJ894" s="992"/>
      <c r="AK894" s="992"/>
      <c r="AL894" s="992"/>
      <c r="AM894" s="992"/>
      <c r="AN894" s="992"/>
      <c r="AO894" s="992"/>
      <c r="AP894" s="992"/>
      <c r="AQ894" s="992"/>
    </row>
    <row r="895" spans="4:43" ht="45.75" customHeight="1">
      <c r="D895" s="1">
        <v>61</v>
      </c>
      <c r="AB895" s="992" t="s">
        <v>1612</v>
      </c>
      <c r="AC895" s="992"/>
      <c r="AD895" s="992"/>
      <c r="AE895" s="992"/>
      <c r="AF895" s="992"/>
      <c r="AG895" s="992"/>
      <c r="AH895" s="992"/>
      <c r="AI895" s="992"/>
      <c r="AJ895" s="992"/>
      <c r="AK895" s="992"/>
      <c r="AL895" s="992"/>
      <c r="AM895" s="992"/>
      <c r="AN895" s="992"/>
      <c r="AO895" s="992"/>
      <c r="AP895" s="992"/>
      <c r="AQ895" s="992"/>
    </row>
    <row r="896" spans="4:43" ht="45.75" customHeight="1">
      <c r="D896" s="1">
        <v>61</v>
      </c>
      <c r="AB896" s="992" t="str">
        <f>"По результатам проведения экспертизы материалов дела  "&amp;'Форма раскрытия информации'!AD31&amp;" по установлению тарифов на услуги по передаче электрической энергии экспертами, в соответствии с Методическими указаниями от 06.08.2004 № 20-э/2 и от 17.02.2012 № 98-э, эксперты принимают необходимую валовую выручку:"</f>
        <v>По результатам проведения экспертизы материалов дела  МУП "Горэлектросети" по установлению тарифов на услуги по передаче электрической энергии экспертами, в соответствии с Методическими указаниями от 06.08.2004 № 20-э/2 и от 17.02.2012 № 98-э, эксперты принимают необходимую валовую выручку:</v>
      </c>
      <c r="AC896" s="992"/>
      <c r="AD896" s="992"/>
      <c r="AE896" s="992"/>
      <c r="AF896" s="992"/>
      <c r="AG896" s="992"/>
      <c r="AH896" s="992"/>
      <c r="AI896" s="992"/>
      <c r="AJ896" s="992"/>
      <c r="AK896" s="992"/>
      <c r="AL896" s="992"/>
      <c r="AM896" s="992"/>
      <c r="AN896" s="992"/>
      <c r="AO896" s="992"/>
      <c r="AP896" s="992"/>
      <c r="AQ896" s="992"/>
    </row>
    <row r="897" spans="4:43" ht="27.75" customHeight="1">
      <c r="D897" s="1">
        <v>37</v>
      </c>
      <c r="AC897" s="976"/>
      <c r="AD897" s="976"/>
      <c r="AE897" s="976"/>
      <c r="AF897" s="976"/>
      <c r="AG897" s="976"/>
      <c r="AH897" s="976"/>
      <c r="AI897" s="312" t="str">
        <f>"Утверждено "&amp;PRD&amp;" год"</f>
        <v>Утверждено 2026 год</v>
      </c>
    </row>
    <row r="898" spans="4:43" ht="13.5" customHeight="1">
      <c r="D898" s="1">
        <v>18</v>
      </c>
      <c r="AC898" s="993" t="s">
        <v>1613</v>
      </c>
      <c r="AD898" s="993"/>
      <c r="AE898" s="993"/>
      <c r="AF898" s="993"/>
      <c r="AG898" s="993"/>
      <c r="AH898" s="329" t="s">
        <v>619</v>
      </c>
      <c r="AI898" s="341" t="e">
        <f>#REF!</f>
        <v>#REF!</v>
      </c>
    </row>
    <row r="899" spans="4:43" ht="27.75" customHeight="1">
      <c r="D899" s="1">
        <v>37</v>
      </c>
      <c r="AC899" s="900" t="s">
        <v>953</v>
      </c>
      <c r="AD899" s="900"/>
      <c r="AE899" s="900"/>
      <c r="AF899" s="900"/>
      <c r="AG899" s="900"/>
      <c r="AH899" s="329" t="s">
        <v>619</v>
      </c>
      <c r="AI899" s="341" t="e">
        <f>#REF!</f>
        <v>#REF!</v>
      </c>
    </row>
    <row r="900" spans="4:43" ht="13.5" customHeight="1">
      <c r="D900" s="1">
        <v>18</v>
      </c>
      <c r="AC900" s="900" t="s">
        <v>987</v>
      </c>
      <c r="AD900" s="900"/>
      <c r="AE900" s="900"/>
      <c r="AF900" s="900"/>
      <c r="AG900" s="900"/>
      <c r="AH900" s="329" t="s">
        <v>619</v>
      </c>
      <c r="AI900" s="341" t="e">
        <f>#REF!</f>
        <v>#REF!</v>
      </c>
    </row>
    <row r="901" spans="4:43" ht="29.25" customHeight="1">
      <c r="D901" s="1">
        <v>39</v>
      </c>
      <c r="AC901" s="900" t="str">
        <f>"Корректировки необходимой валовой выручки на основе фактических данных за "&amp;PRD-2&amp;" года"</f>
        <v>Корректировки необходимой валовой выручки на основе фактических данных за 2024 года</v>
      </c>
      <c r="AD901" s="900"/>
      <c r="AE901" s="900"/>
      <c r="AF901" s="900"/>
      <c r="AG901" s="900"/>
      <c r="AH901" s="329" t="s">
        <v>619</v>
      </c>
      <c r="AI901" s="341" t="e">
        <f>#REF!</f>
        <v>#REF!</v>
      </c>
    </row>
    <row r="902" spans="4:43" ht="18" customHeight="1">
      <c r="D902" s="1">
        <v>24</v>
      </c>
      <c r="AC902" s="900" t="s">
        <v>1614</v>
      </c>
      <c r="AD902" s="900"/>
      <c r="AE902" s="900"/>
      <c r="AF902" s="900"/>
      <c r="AG902" s="900"/>
      <c r="AH902" s="329" t="s">
        <v>619</v>
      </c>
      <c r="AI902" s="341" t="e">
        <f>#REF!</f>
        <v>#REF!</v>
      </c>
    </row>
    <row r="903" spans="4:43" ht="27" customHeight="1">
      <c r="D903" s="1">
        <v>36</v>
      </c>
      <c r="AC903" s="993" t="s">
        <v>1615</v>
      </c>
      <c r="AD903" s="993"/>
      <c r="AE903" s="993"/>
      <c r="AF903" s="993"/>
      <c r="AG903" s="993"/>
      <c r="AH903" s="329" t="s">
        <v>619</v>
      </c>
      <c r="AI903" s="341">
        <f>IFERROR(#REF!,0)</f>
        <v>0</v>
      </c>
    </row>
    <row r="904" spans="4:43" ht="15" customHeight="1">
      <c r="D904" s="1">
        <v>20</v>
      </c>
    </row>
    <row r="905" spans="4:43" ht="45.75" customHeight="1">
      <c r="D905" s="1">
        <v>61</v>
      </c>
      <c r="AB905" s="992" t="str">
        <f>"Величина необходимой валовой выручки, обеспечивающая компенсацию экономически обоснованных расходов на осуществление деятельности по передаче электрической энергии по сетям "&amp;'Форма раскрытия информации'!AD31&amp;" на "&amp;Титульный!AC47&amp;" гг. составила:"</f>
        <v>Величина необходимой валовой выручки, обеспечивающая компенсацию экономически обоснованных расходов на осуществление деятельности по передаче электрической энергии по сетям МУП "Горэлектросети" на 2026-2030 гг. составила:</v>
      </c>
      <c r="AC905" s="992"/>
      <c r="AD905" s="992"/>
      <c r="AE905" s="992"/>
      <c r="AF905" s="992"/>
      <c r="AG905" s="992"/>
      <c r="AH905" s="992"/>
      <c r="AI905" s="992"/>
      <c r="AJ905" s="992"/>
      <c r="AK905" s="992"/>
      <c r="AL905" s="992"/>
      <c r="AM905" s="992"/>
      <c r="AN905" s="992"/>
      <c r="AO905" s="992"/>
      <c r="AP905" s="992"/>
      <c r="AQ905" s="992"/>
    </row>
    <row r="906" spans="4:43" ht="27.75" customHeight="1">
      <c r="D906" s="1">
        <v>37</v>
      </c>
      <c r="AC906" s="976"/>
      <c r="AD906" s="976"/>
      <c r="AE906" s="976"/>
      <c r="AF906" s="976"/>
      <c r="AG906" s="976"/>
      <c r="AH906" s="976"/>
      <c r="AI906" s="312" t="str">
        <f>"Утверждено "&amp;PRD&amp;" год"</f>
        <v>Утверждено 2026 год</v>
      </c>
      <c r="AJ906" s="312" t="str">
        <f>"Утверждено "&amp;PRD+1&amp;" год"</f>
        <v>Утверждено 2027 год</v>
      </c>
      <c r="AK906" s="312" t="str">
        <f>"Утверждено "&amp;PRD+2&amp;" год"</f>
        <v>Утверждено 2028 год</v>
      </c>
      <c r="AL906" s="312" t="str">
        <f>"Утверждено "&amp;PRD+3&amp;" год"</f>
        <v>Утверждено 2029 год</v>
      </c>
      <c r="AM906" s="312" t="str">
        <f>"Утверждено "&amp;PRD+4&amp;" год"</f>
        <v>Утверждено 2030 год</v>
      </c>
    </row>
    <row r="907" spans="4:43" ht="13.5" customHeight="1">
      <c r="D907" s="1">
        <v>18</v>
      </c>
      <c r="AC907" s="993" t="s">
        <v>1616</v>
      </c>
      <c r="AD907" s="993"/>
      <c r="AE907" s="993"/>
      <c r="AF907" s="993"/>
      <c r="AG907" s="993"/>
      <c r="AH907" s="329" t="s">
        <v>619</v>
      </c>
      <c r="AI907" s="341" t="e">
        <f>#REF!</f>
        <v>#REF!</v>
      </c>
      <c r="AJ907" s="341" t="e">
        <f>#REF!</f>
        <v>#REF!</v>
      </c>
      <c r="AK907" s="341" t="e">
        <f>#REF!</f>
        <v>#REF!</v>
      </c>
      <c r="AL907" s="341" t="e">
        <f>#REF!</f>
        <v>#REF!</v>
      </c>
      <c r="AM907" s="341" t="e">
        <f>#REF!</f>
        <v>#REF!</v>
      </c>
    </row>
    <row r="908" spans="4:43" ht="15" customHeight="1">
      <c r="D908" s="1">
        <v>20</v>
      </c>
    </row>
    <row r="909" spans="4:43" ht="24" customHeight="1">
      <c r="D909" s="1">
        <v>32</v>
      </c>
      <c r="AB909" s="992" t="str">
        <f>"Величина тарифов, обеспечивающая компенсацию экономически обоснованных расходов на осуществление деятельности по передаче электрической энергии по сетям "&amp;'Форма раскрытия информации'!AD31&amp;" на "&amp;Титульный!AC47&amp;" гг. составила:"</f>
        <v>Величина тарифов, обеспечивающая компенсацию экономически обоснованных расходов на осуществление деятельности по передаче электрической энергии по сетям МУП "Горэлектросети" на 2026-2030 гг. составила:</v>
      </c>
      <c r="AC909" s="992"/>
      <c r="AD909" s="992"/>
      <c r="AE909" s="992"/>
      <c r="AF909" s="992"/>
      <c r="AG909" s="992"/>
      <c r="AH909" s="992"/>
      <c r="AI909" s="992"/>
      <c r="AJ909" s="992"/>
      <c r="AK909" s="992"/>
      <c r="AL909" s="992"/>
      <c r="AM909" s="992"/>
      <c r="AN909" s="992"/>
      <c r="AO909" s="992"/>
      <c r="AP909" s="992"/>
      <c r="AQ909" s="992"/>
    </row>
    <row r="910" spans="4:43" ht="13.5" customHeight="1">
      <c r="D910" s="1">
        <v>18</v>
      </c>
      <c r="AD910" s="976" t="str">
        <f>Титульный!AC53&amp;" - "&amp;Титульный!AC27</f>
        <v>Филиал ПАО "Россети Сибирь" - МУП "Горэлектросети"</v>
      </c>
      <c r="AE910" s="976"/>
      <c r="AF910" s="976"/>
      <c r="AG910" s="976"/>
      <c r="AH910" s="903" t="s">
        <v>1617</v>
      </c>
      <c r="AI910" s="903"/>
      <c r="AJ910" s="903"/>
      <c r="AK910" s="903"/>
      <c r="AL910" s="903"/>
      <c r="AM910" s="903"/>
    </row>
    <row r="911" spans="4:43" ht="13.5" customHeight="1">
      <c r="D911" s="1">
        <v>18</v>
      </c>
      <c r="AD911" s="976"/>
      <c r="AE911" s="976"/>
      <c r="AF911" s="976"/>
      <c r="AG911" s="976"/>
      <c r="AH911" s="903" t="s">
        <v>928</v>
      </c>
      <c r="AI911" s="903"/>
      <c r="AJ911" s="903"/>
      <c r="AK911" s="903" t="s">
        <v>929</v>
      </c>
      <c r="AL911" s="903"/>
      <c r="AM911" s="903"/>
    </row>
    <row r="912" spans="4:43" ht="13.5" customHeight="1">
      <c r="D912" s="1">
        <v>18</v>
      </c>
      <c r="AD912" s="976"/>
      <c r="AE912" s="976"/>
      <c r="AF912" s="976"/>
      <c r="AG912" s="976"/>
      <c r="AH912" s="903" t="s">
        <v>1618</v>
      </c>
      <c r="AI912" s="903" t="s">
        <v>1619</v>
      </c>
      <c r="AJ912" s="903"/>
      <c r="AK912" s="903" t="s">
        <v>1618</v>
      </c>
      <c r="AL912" s="903" t="s">
        <v>1619</v>
      </c>
      <c r="AM912" s="903"/>
    </row>
    <row r="913" spans="4:43" ht="55.5" customHeight="1">
      <c r="D913" s="1">
        <v>74</v>
      </c>
      <c r="AD913" s="976"/>
      <c r="AE913" s="976"/>
      <c r="AF913" s="976"/>
      <c r="AG913" s="976"/>
      <c r="AH913" s="903"/>
      <c r="AI913" s="313" t="s">
        <v>1620</v>
      </c>
      <c r="AJ913" s="313" t="s">
        <v>1621</v>
      </c>
      <c r="AK913" s="903"/>
      <c r="AL913" s="313" t="s">
        <v>1620</v>
      </c>
      <c r="AM913" s="313" t="s">
        <v>1621</v>
      </c>
    </row>
    <row r="914" spans="4:43" ht="24" customHeight="1">
      <c r="D914" s="1">
        <v>32</v>
      </c>
      <c r="AD914" s="920">
        <f>Титульный!AC40</f>
        <v>2026</v>
      </c>
      <c r="AE914" s="994"/>
      <c r="AF914" s="994"/>
      <c r="AG914" s="921"/>
      <c r="AH914" s="351"/>
      <c r="AI914" s="351"/>
      <c r="AJ914" s="351"/>
      <c r="AK914" s="351"/>
      <c r="AL914" s="351"/>
      <c r="AM914" s="351"/>
    </row>
    <row r="915" spans="4:43" ht="24" customHeight="1">
      <c r="D915" s="1">
        <v>32</v>
      </c>
      <c r="AD915" s="920">
        <f>AD914+1</f>
        <v>2027</v>
      </c>
      <c r="AE915" s="994"/>
      <c r="AF915" s="994"/>
      <c r="AG915" s="921"/>
      <c r="AH915" s="351"/>
      <c r="AI915" s="351"/>
      <c r="AJ915" s="351"/>
      <c r="AK915" s="351"/>
      <c r="AL915" s="351"/>
      <c r="AM915" s="351"/>
    </row>
    <row r="916" spans="4:43" ht="24" customHeight="1">
      <c r="D916" s="1">
        <v>32</v>
      </c>
      <c r="AD916" s="920">
        <f>AD915+1</f>
        <v>2028</v>
      </c>
      <c r="AE916" s="994"/>
      <c r="AF916" s="994"/>
      <c r="AG916" s="921"/>
      <c r="AH916" s="351"/>
      <c r="AI916" s="351"/>
      <c r="AJ916" s="351"/>
      <c r="AK916" s="351"/>
      <c r="AL916" s="351"/>
      <c r="AM916" s="351"/>
    </row>
    <row r="917" spans="4:43" ht="24" customHeight="1">
      <c r="D917" s="1">
        <v>32</v>
      </c>
      <c r="AD917" s="920">
        <f>AD916+1</f>
        <v>2029</v>
      </c>
      <c r="AE917" s="994"/>
      <c r="AF917" s="994"/>
      <c r="AG917" s="921"/>
      <c r="AH917" s="351"/>
      <c r="AI917" s="351"/>
      <c r="AJ917" s="351"/>
      <c r="AK917" s="351"/>
      <c r="AL917" s="351"/>
      <c r="AM917" s="351"/>
    </row>
    <row r="918" spans="4:43" ht="24" customHeight="1">
      <c r="D918" s="1">
        <v>32</v>
      </c>
      <c r="AD918" s="920">
        <f>AD917+1</f>
        <v>2030</v>
      </c>
      <c r="AE918" s="994"/>
      <c r="AF918" s="994"/>
      <c r="AG918" s="921"/>
      <c r="AH918" s="351"/>
      <c r="AI918" s="351"/>
      <c r="AJ918" s="351"/>
      <c r="AK918" s="351"/>
      <c r="AL918" s="351"/>
      <c r="AM918" s="351"/>
    </row>
    <row r="919" spans="4:43" ht="15" customHeight="1">
      <c r="D919" s="1">
        <v>20</v>
      </c>
    </row>
    <row r="920" spans="4:43" ht="15" customHeight="1">
      <c r="D920">
        <v>20</v>
      </c>
    </row>
    <row r="921" spans="4:43" ht="15" customHeight="1">
      <c r="D921">
        <v>20</v>
      </c>
    </row>
    <row r="922" spans="4:43" ht="15" customHeight="1">
      <c r="D922">
        <v>20</v>
      </c>
    </row>
    <row r="923" spans="4:43" ht="33.75" customHeight="1">
      <c r="D923" s="1">
        <v>45</v>
      </c>
      <c r="AB923" s="959"/>
      <c r="AC923" s="959"/>
      <c r="AD923" s="959"/>
      <c r="AE923" s="959"/>
      <c r="AF923" s="959"/>
      <c r="AG923" s="959"/>
      <c r="AH923" s="959"/>
      <c r="AJ923" s="959"/>
      <c r="AK923" s="959"/>
      <c r="AL923" s="959"/>
      <c r="AM923" s="959"/>
      <c r="AN923" s="959"/>
      <c r="AO923" s="959"/>
      <c r="AP923" s="959"/>
      <c r="AQ923" s="959"/>
    </row>
    <row r="924" spans="4:43" ht="15" customHeight="1">
      <c r="D924">
        <v>20</v>
      </c>
    </row>
    <row r="925" spans="4:43" ht="15" customHeight="1">
      <c r="D925">
        <v>20</v>
      </c>
    </row>
    <row r="926" spans="4:43" ht="13.5" customHeight="1">
      <c r="D926" s="1">
        <v>18</v>
      </c>
      <c r="AB926" s="290" t="s">
        <v>1622</v>
      </c>
    </row>
    <row r="927" spans="4:43" ht="33.75" customHeight="1">
      <c r="D927" s="1">
        <v>45</v>
      </c>
      <c r="AB927" s="896"/>
      <c r="AC927" s="896"/>
      <c r="AD927" s="896"/>
      <c r="AE927" s="896"/>
      <c r="AF927" s="896"/>
      <c r="AG927" s="896"/>
      <c r="AH927" s="896"/>
      <c r="AJ927" s="896"/>
      <c r="AK927" s="896"/>
      <c r="AL927" s="896"/>
      <c r="AM927" s="896"/>
      <c r="AN927" s="896"/>
      <c r="AO927" s="896"/>
      <c r="AP927" s="896"/>
      <c r="AQ927" s="896"/>
    </row>
    <row r="928" spans="4:43" ht="15" customHeight="1">
      <c r="D928">
        <v>20</v>
      </c>
    </row>
    <row r="929" spans="4:47" ht="33.75" customHeight="1">
      <c r="D929" s="1">
        <v>45</v>
      </c>
      <c r="AB929" s="896"/>
      <c r="AC929" s="896"/>
      <c r="AD929" s="896"/>
      <c r="AE929" s="896"/>
      <c r="AF929" s="896"/>
      <c r="AG929" s="896"/>
      <c r="AH929" s="896"/>
      <c r="AJ929" s="896"/>
      <c r="AK929" s="896"/>
      <c r="AL929" s="896"/>
      <c r="AM929" s="896"/>
      <c r="AN929" s="896"/>
      <c r="AO929" s="896"/>
      <c r="AP929" s="896"/>
      <c r="AQ929" s="896"/>
    </row>
    <row r="930" spans="4:47" ht="15" customHeight="1">
      <c r="D930">
        <v>20</v>
      </c>
    </row>
    <row r="931" spans="4:47" ht="33.75" customHeight="1">
      <c r="D931" s="1">
        <v>45</v>
      </c>
      <c r="AB931" s="896"/>
      <c r="AC931" s="896"/>
      <c r="AD931" s="896"/>
      <c r="AE931" s="896"/>
      <c r="AF931" s="896"/>
      <c r="AG931" s="896"/>
      <c r="AH931" s="896"/>
      <c r="AJ931" s="896"/>
      <c r="AK931" s="896"/>
      <c r="AL931" s="896"/>
      <c r="AM931" s="896"/>
      <c r="AN931" s="896"/>
      <c r="AO931" s="896"/>
      <c r="AP931" s="896"/>
      <c r="AQ931" s="896"/>
    </row>
    <row r="932" spans="4:47" ht="15" customHeight="1">
      <c r="D932">
        <v>20</v>
      </c>
    </row>
    <row r="933" spans="4:47" ht="33.75" customHeight="1">
      <c r="D933" s="1">
        <v>45</v>
      </c>
      <c r="AB933" s="896"/>
      <c r="AC933" s="896"/>
      <c r="AD933" s="896"/>
      <c r="AE933" s="896"/>
      <c r="AF933" s="896"/>
      <c r="AG933" s="896"/>
      <c r="AH933" s="896"/>
      <c r="AJ933" s="896"/>
      <c r="AK933" s="896"/>
      <c r="AL933" s="896"/>
      <c r="AM933" s="896"/>
      <c r="AN933" s="896"/>
      <c r="AO933" s="896"/>
      <c r="AP933" s="896"/>
      <c r="AQ933" s="896"/>
    </row>
    <row r="934" spans="4:47" ht="11.25" hidden="1" customHeight="1">
      <c r="D934">
        <v>0</v>
      </c>
      <c r="AU934" t="s">
        <v>42</v>
      </c>
    </row>
  </sheetData>
  <sheetProtection formatColumns="0" formatRows="0" insertRows="0" deleteColumns="0" deleteRows="0" sort="0" autoFilter="0"/>
  <mergeCells count="978">
    <mergeCell ref="AB193:AH193"/>
    <mergeCell ref="AB194:AH194"/>
    <mergeCell ref="AB195:AH195"/>
    <mergeCell ref="AB196:AH196"/>
    <mergeCell ref="AB198:AH198"/>
    <mergeCell ref="AB199:AH199"/>
    <mergeCell ref="AD914:AG914"/>
    <mergeCell ref="AB896:AQ896"/>
    <mergeCell ref="AC899:AG899"/>
    <mergeCell ref="AC900:AG900"/>
    <mergeCell ref="AC901:AG901"/>
    <mergeCell ref="AC898:AG898"/>
    <mergeCell ref="AC897:AH897"/>
    <mergeCell ref="AB893:AQ893"/>
    <mergeCell ref="AB894:AQ894"/>
    <mergeCell ref="AB895:AQ895"/>
    <mergeCell ref="AH911:AJ911"/>
    <mergeCell ref="AK911:AM911"/>
    <mergeCell ref="AC902:AG902"/>
    <mergeCell ref="AC903:AG903"/>
    <mergeCell ref="AK912:AK913"/>
    <mergeCell ref="AL912:AM912"/>
    <mergeCell ref="AD874:AH874"/>
    <mergeCell ref="AB776:AQ776"/>
    <mergeCell ref="AA879:AA880"/>
    <mergeCell ref="AB882:AL882"/>
    <mergeCell ref="AM882:AN882"/>
    <mergeCell ref="AP882:AQ882"/>
    <mergeCell ref="AD886:AF886"/>
    <mergeCell ref="AD887:AF887"/>
    <mergeCell ref="AD888:AF888"/>
    <mergeCell ref="AC885:AG885"/>
    <mergeCell ref="AB890:AQ890"/>
    <mergeCell ref="AB880:AQ880"/>
    <mergeCell ref="AB881:AQ881"/>
    <mergeCell ref="AB883:AQ883"/>
    <mergeCell ref="AB884:AQ884"/>
    <mergeCell ref="AB835:AQ835"/>
    <mergeCell ref="AB836:AQ836"/>
    <mergeCell ref="AD830:AF830"/>
    <mergeCell ref="AD831:AF831"/>
    <mergeCell ref="AD832:AF832"/>
    <mergeCell ref="AD833:AF833"/>
    <mergeCell ref="AB828:AQ828"/>
    <mergeCell ref="AD810:AF810"/>
    <mergeCell ref="AB819:AQ819"/>
    <mergeCell ref="AB820:AQ820"/>
    <mergeCell ref="AB823:AQ823"/>
    <mergeCell ref="AB826:AQ826"/>
    <mergeCell ref="AB827:AQ827"/>
    <mergeCell ref="AC822:AQ822"/>
    <mergeCell ref="AD824:AF824"/>
    <mergeCell ref="AD825:AF825"/>
    <mergeCell ref="AD821:AQ821"/>
    <mergeCell ref="AB821:AC821"/>
    <mergeCell ref="AB817:AQ817"/>
    <mergeCell ref="AB845:AQ845"/>
    <mergeCell ref="AB841:AQ841"/>
    <mergeCell ref="AB842:AQ842"/>
    <mergeCell ref="AB843:AQ843"/>
    <mergeCell ref="AB844:AQ844"/>
    <mergeCell ref="AB837:AQ837"/>
    <mergeCell ref="AB838:AQ838"/>
    <mergeCell ref="AB839:AQ839"/>
    <mergeCell ref="AB840:AQ840"/>
    <mergeCell ref="AB868:AQ868"/>
    <mergeCell ref="AD811:AF811"/>
    <mergeCell ref="AD812:AF812"/>
    <mergeCell ref="AD813:AF813"/>
    <mergeCell ref="AD746:AF746"/>
    <mergeCell ref="AB756:AQ756"/>
    <mergeCell ref="AB758:AQ758"/>
    <mergeCell ref="AB752:AQ752"/>
    <mergeCell ref="AB754:AQ754"/>
    <mergeCell ref="AB755:AQ755"/>
    <mergeCell ref="AD760:AG760"/>
    <mergeCell ref="AD761:AG761"/>
    <mergeCell ref="AD762:AG762"/>
    <mergeCell ref="AD763:AG763"/>
    <mergeCell ref="AD765:AG765"/>
    <mergeCell ref="AD768:AG768"/>
    <mergeCell ref="AD769:AG769"/>
    <mergeCell ref="AD770:AG770"/>
    <mergeCell ref="AD771:AG771"/>
    <mergeCell ref="AC759:AH759"/>
    <mergeCell ref="AD764:AG764"/>
    <mergeCell ref="AD766:AG766"/>
    <mergeCell ref="AD747:AF747"/>
    <mergeCell ref="AD748:AF748"/>
    <mergeCell ref="AD749:AF749"/>
    <mergeCell ref="AB543:AQ543"/>
    <mergeCell ref="AB544:AQ544"/>
    <mergeCell ref="AB545:AQ545"/>
    <mergeCell ref="AD767:AG767"/>
    <mergeCell ref="AB572:AG572"/>
    <mergeCell ref="AB725:AQ725"/>
    <mergeCell ref="AB726:AQ726"/>
    <mergeCell ref="AB727:AQ727"/>
    <mergeCell ref="AB728:AQ728"/>
    <mergeCell ref="AB729:AQ729"/>
    <mergeCell ref="AB730:AQ730"/>
    <mergeCell ref="AB731:AQ731"/>
    <mergeCell ref="AD745:AF745"/>
    <mergeCell ref="AD738:AF738"/>
    <mergeCell ref="AD739:AF739"/>
    <mergeCell ref="AD740:AF740"/>
    <mergeCell ref="AD741:AF741"/>
    <mergeCell ref="AD742:AF742"/>
    <mergeCell ref="AD743:AF743"/>
    <mergeCell ref="AD744:AF744"/>
    <mergeCell ref="AB719:AQ719"/>
    <mergeCell ref="AB720:AQ720"/>
    <mergeCell ref="AB721:AQ721"/>
    <mergeCell ref="AB722:AQ722"/>
    <mergeCell ref="AB623:AQ623"/>
    <mergeCell ref="AB624:AQ624"/>
    <mergeCell ref="AB625:AQ625"/>
    <mergeCell ref="AB626:AQ626"/>
    <mergeCell ref="AB627:AQ627"/>
    <mergeCell ref="AA578:AA579"/>
    <mergeCell ref="AA535:AA536"/>
    <mergeCell ref="AB585:AG585"/>
    <mergeCell ref="AB586:AG586"/>
    <mergeCell ref="AB548:AD548"/>
    <mergeCell ref="AG548:AQ548"/>
    <mergeCell ref="AB550:AD550"/>
    <mergeCell ref="AG550:AQ550"/>
    <mergeCell ref="AI585:AS585"/>
    <mergeCell ref="AI586:AS586"/>
    <mergeCell ref="AB549:AQ549"/>
    <mergeCell ref="AB551:AQ551"/>
    <mergeCell ref="AB552:AQ552"/>
    <mergeCell ref="AB568:AQ568"/>
    <mergeCell ref="AB569:AQ569"/>
    <mergeCell ref="AB570:AQ570"/>
    <mergeCell ref="AB571:AQ571"/>
    <mergeCell ref="AB539:AQ539"/>
    <mergeCell ref="AB540:AQ540"/>
    <mergeCell ref="AB597:AQ597"/>
    <mergeCell ref="AB598:AQ598"/>
    <mergeCell ref="AB599:AQ599"/>
    <mergeCell ref="AB600:AQ600"/>
    <mergeCell ref="AB601:AQ601"/>
    <mergeCell ref="AB602:AQ602"/>
    <mergeCell ref="AB603:AQ603"/>
    <mergeCell ref="AB604:AQ604"/>
    <mergeCell ref="AB561:AQ561"/>
    <mergeCell ref="AB562:AQ562"/>
    <mergeCell ref="AB563:AQ563"/>
    <mergeCell ref="AB564:AQ564"/>
    <mergeCell ref="AB565:AQ565"/>
    <mergeCell ref="AB566:AQ566"/>
    <mergeCell ref="AB554:AQ554"/>
    <mergeCell ref="AB555:AQ555"/>
    <mergeCell ref="AB556:AQ556"/>
    <mergeCell ref="AB557:AQ557"/>
    <mergeCell ref="AB567:AQ567"/>
    <mergeCell ref="AB574:AQ574"/>
    <mergeCell ref="AB575:AQ575"/>
    <mergeCell ref="AB581:AQ581"/>
    <mergeCell ref="AB582:AQ582"/>
    <mergeCell ref="AB717:AQ717"/>
    <mergeCell ref="AB610:AQ610"/>
    <mergeCell ref="AB611:AQ611"/>
    <mergeCell ref="AB612:AQ612"/>
    <mergeCell ref="AB613:AQ613"/>
    <mergeCell ref="AB614:AQ614"/>
    <mergeCell ref="AB615:AQ615"/>
    <mergeCell ref="AB616:AQ616"/>
    <mergeCell ref="AB638:AQ638"/>
    <mergeCell ref="AB639:AQ639"/>
    <mergeCell ref="AB640:AQ640"/>
    <mergeCell ref="AB641:AQ641"/>
    <mergeCell ref="AB642:AQ642"/>
    <mergeCell ref="AB647:AQ647"/>
    <mergeCell ref="AB648:AQ648"/>
    <mergeCell ref="AB712:AQ712"/>
    <mergeCell ref="AB628:AQ628"/>
    <mergeCell ref="AB629:AQ629"/>
    <mergeCell ref="AB630:AQ630"/>
    <mergeCell ref="AB631:AQ631"/>
    <mergeCell ref="AB632:AQ632"/>
    <mergeCell ref="AB633:AQ633"/>
    <mergeCell ref="AB634:AQ634"/>
    <mergeCell ref="AB635:AQ635"/>
    <mergeCell ref="AB489:AQ489"/>
    <mergeCell ref="AB490:AQ490"/>
    <mergeCell ref="AB491:AQ491"/>
    <mergeCell ref="AB546:AQ546"/>
    <mergeCell ref="AB547:AQ547"/>
    <mergeCell ref="AC500:AF500"/>
    <mergeCell ref="AC501:AF501"/>
    <mergeCell ref="AC502:AF502"/>
    <mergeCell ref="AB504:AQ504"/>
    <mergeCell ref="AB506:AQ506"/>
    <mergeCell ref="AB535:AQ535"/>
    <mergeCell ref="AB536:AQ536"/>
    <mergeCell ref="AB537:AQ537"/>
    <mergeCell ref="AB538:AQ538"/>
    <mergeCell ref="AC497:AF497"/>
    <mergeCell ref="AC498:AF498"/>
    <mergeCell ref="AC499:AF499"/>
    <mergeCell ref="AC519:AE519"/>
    <mergeCell ref="AG519:AH519"/>
    <mergeCell ref="AI519:AJ519"/>
    <mergeCell ref="AC520:AE520"/>
    <mergeCell ref="AG520:AH520"/>
    <mergeCell ref="AB541:AQ541"/>
    <mergeCell ref="AB542:AQ542"/>
    <mergeCell ref="AL371:AQ372"/>
    <mergeCell ref="AL373:AQ373"/>
    <mergeCell ref="AL374:AQ374"/>
    <mergeCell ref="AL375:AQ375"/>
    <mergeCell ref="AL376:AQ376"/>
    <mergeCell ref="AL377:AQ377"/>
    <mergeCell ref="AB487:AQ487"/>
    <mergeCell ref="AB488:AQ488"/>
    <mergeCell ref="AC470:AG471"/>
    <mergeCell ref="AJ470:AK470"/>
    <mergeCell ref="AL470:AQ471"/>
    <mergeCell ref="AC373:AF373"/>
    <mergeCell ref="AC374:AF374"/>
    <mergeCell ref="AC375:AF375"/>
    <mergeCell ref="AC376:AF376"/>
    <mergeCell ref="AC377:AF377"/>
    <mergeCell ref="AC378:AF378"/>
    <mergeCell ref="AA462:AA463"/>
    <mergeCell ref="AB481:AQ481"/>
    <mergeCell ref="AB482:AQ482"/>
    <mergeCell ref="AB483:AQ483"/>
    <mergeCell ref="AB484:AQ484"/>
    <mergeCell ref="AC475:AF475"/>
    <mergeCell ref="AL475:AQ475"/>
    <mergeCell ref="AB381:AQ381"/>
    <mergeCell ref="AB382:AQ382"/>
    <mergeCell ref="AB384:AQ384"/>
    <mergeCell ref="AB477:AQ477"/>
    <mergeCell ref="AC472:AF472"/>
    <mergeCell ref="AL472:AQ472"/>
    <mergeCell ref="AC473:AF473"/>
    <mergeCell ref="AL473:AQ473"/>
    <mergeCell ref="AC474:AF474"/>
    <mergeCell ref="AB478:AQ478"/>
    <mergeCell ref="AB479:AQ479"/>
    <mergeCell ref="AL474:AQ474"/>
    <mergeCell ref="AB465:AQ465"/>
    <mergeCell ref="AB466:AQ466"/>
    <mergeCell ref="AB467:AQ467"/>
    <mergeCell ref="AB468:AQ468"/>
    <mergeCell ref="AB469:AQ469"/>
    <mergeCell ref="AB492:AQ492"/>
    <mergeCell ref="AB493:AQ493"/>
    <mergeCell ref="AB494:AQ494"/>
    <mergeCell ref="AC495:AG495"/>
    <mergeCell ref="AC496:AF496"/>
    <mergeCell ref="AB485:AQ485"/>
    <mergeCell ref="AB486:AQ486"/>
    <mergeCell ref="AD875:AH875"/>
    <mergeCell ref="AD876:AH876"/>
    <mergeCell ref="AD869:AF869"/>
    <mergeCell ref="AD870:AH870"/>
    <mergeCell ref="AD871:AH871"/>
    <mergeCell ref="AD872:AH872"/>
    <mergeCell ref="AG869:AJ869"/>
    <mergeCell ref="AB846:AQ846"/>
    <mergeCell ref="AD873:AH873"/>
    <mergeCell ref="AI521:AJ521"/>
    <mergeCell ref="AC522:AE522"/>
    <mergeCell ref="AG522:AH522"/>
    <mergeCell ref="AI522:AJ522"/>
    <mergeCell ref="AC523:AE523"/>
    <mergeCell ref="AG523:AH523"/>
    <mergeCell ref="AI523:AJ523"/>
    <mergeCell ref="AI528:AJ528"/>
    <mergeCell ref="AD877:AH877"/>
    <mergeCell ref="AB879:AQ879"/>
    <mergeCell ref="AB933:AH933"/>
    <mergeCell ref="AJ933:AQ933"/>
    <mergeCell ref="AB927:AH927"/>
    <mergeCell ref="AJ927:AQ927"/>
    <mergeCell ref="AB929:AH929"/>
    <mergeCell ref="AJ929:AQ929"/>
    <mergeCell ref="AB931:AH931"/>
    <mergeCell ref="AJ931:AQ931"/>
    <mergeCell ref="AB905:AQ905"/>
    <mergeCell ref="AC907:AG907"/>
    <mergeCell ref="AC906:AH906"/>
    <mergeCell ref="AB923:AH923"/>
    <mergeCell ref="AJ923:AQ923"/>
    <mergeCell ref="AB909:AQ909"/>
    <mergeCell ref="AD915:AG915"/>
    <mergeCell ref="AD916:AG916"/>
    <mergeCell ref="AD917:AG917"/>
    <mergeCell ref="AD918:AG918"/>
    <mergeCell ref="AD910:AG913"/>
    <mergeCell ref="AH910:AM910"/>
    <mergeCell ref="AH912:AH913"/>
    <mergeCell ref="AI912:AJ912"/>
    <mergeCell ref="AB231:AQ231"/>
    <mergeCell ref="AB232:AT232"/>
    <mergeCell ref="AB233:AT233"/>
    <mergeCell ref="AB234:AT234"/>
    <mergeCell ref="AJ235:AK235"/>
    <mergeCell ref="AB235:AI235"/>
    <mergeCell ref="AB236:AI236"/>
    <mergeCell ref="AJ236:AK236"/>
    <mergeCell ref="AB314:AQ314"/>
    <mergeCell ref="AB286:AQ286"/>
    <mergeCell ref="AB287:AQ287"/>
    <mergeCell ref="AB288:AQ288"/>
    <mergeCell ref="AB290:AQ290"/>
    <mergeCell ref="AE264:AE265"/>
    <mergeCell ref="AB264:AD265"/>
    <mergeCell ref="AB258:AQ258"/>
    <mergeCell ref="AB259:AQ259"/>
    <mergeCell ref="AB260:AT260"/>
    <mergeCell ref="AB261:AT261"/>
    <mergeCell ref="AB275:AQ275"/>
    <mergeCell ref="AB276:AQ276"/>
    <mergeCell ref="AB278:AQ278"/>
    <mergeCell ref="AB280:AQ280"/>
    <mergeCell ref="AB282:AQ282"/>
    <mergeCell ref="AB315:AQ315"/>
    <mergeCell ref="AB242:AK242"/>
    <mergeCell ref="AB247:AK247"/>
    <mergeCell ref="AB243:AI243"/>
    <mergeCell ref="AB257:AQ257"/>
    <mergeCell ref="AB263:AQ263"/>
    <mergeCell ref="AB262:AT262"/>
    <mergeCell ref="AB284:AQ284"/>
    <mergeCell ref="AC266:AD266"/>
    <mergeCell ref="AC267:AD267"/>
    <mergeCell ref="AC268:AD268"/>
    <mergeCell ref="AC269:AD269"/>
    <mergeCell ref="AC270:AD270"/>
    <mergeCell ref="AC271:AD271"/>
    <mergeCell ref="AC272:AD272"/>
    <mergeCell ref="AC273:AD273"/>
    <mergeCell ref="AC307:AE307"/>
    <mergeCell ref="AC308:AE308"/>
    <mergeCell ref="AG307:AH307"/>
    <mergeCell ref="AG308:AH308"/>
    <mergeCell ref="AI307:AJ307"/>
    <mergeCell ref="AK307:AL307"/>
    <mergeCell ref="AI308:AJ308"/>
    <mergeCell ref="AK308:AL308"/>
    <mergeCell ref="AJ237:AK237"/>
    <mergeCell ref="AB238:AI238"/>
    <mergeCell ref="AB240:AI240"/>
    <mergeCell ref="AJ240:AK240"/>
    <mergeCell ref="AB241:AJ241"/>
    <mergeCell ref="AB246:AQ246"/>
    <mergeCell ref="AC254:AD254"/>
    <mergeCell ref="AC255:AD255"/>
    <mergeCell ref="AC256:AD256"/>
    <mergeCell ref="AJ243:AR243"/>
    <mergeCell ref="AC248:AD248"/>
    <mergeCell ref="AC249:AF249"/>
    <mergeCell ref="AC250:AD250"/>
    <mergeCell ref="AC251:AD251"/>
    <mergeCell ref="AC252:AD252"/>
    <mergeCell ref="AC253:AD253"/>
    <mergeCell ref="AB244:AQ244"/>
    <mergeCell ref="AB245:AQ245"/>
    <mergeCell ref="AB316:AQ316"/>
    <mergeCell ref="AB324:AQ324"/>
    <mergeCell ref="AB317:AQ317"/>
    <mergeCell ref="AB318:AQ318"/>
    <mergeCell ref="AB319:AQ319"/>
    <mergeCell ref="AB320:AQ320"/>
    <mergeCell ref="AB321:AQ321"/>
    <mergeCell ref="AB322:AQ322"/>
    <mergeCell ref="AC371:AG372"/>
    <mergeCell ref="AB334:AQ334"/>
    <mergeCell ref="AB335:AQ335"/>
    <mergeCell ref="AB336:AQ336"/>
    <mergeCell ref="AB323:AQ323"/>
    <mergeCell ref="AB325:AQ325"/>
    <mergeCell ref="AB326:AQ326"/>
    <mergeCell ref="AB327:AQ327"/>
    <mergeCell ref="AB328:AQ328"/>
    <mergeCell ref="AB364:AQ364"/>
    <mergeCell ref="AB365:AQ365"/>
    <mergeCell ref="AB370:AQ370"/>
    <mergeCell ref="AB366:AQ366"/>
    <mergeCell ref="AB363:AQ363"/>
    <mergeCell ref="AB358:AQ358"/>
    <mergeCell ref="AB360:AQ360"/>
    <mergeCell ref="AC228:AO228"/>
    <mergeCell ref="AP228:AQ228"/>
    <mergeCell ref="AJ238:AK238"/>
    <mergeCell ref="AB239:AI239"/>
    <mergeCell ref="AJ239:AK239"/>
    <mergeCell ref="AC220:AO220"/>
    <mergeCell ref="AP220:AQ220"/>
    <mergeCell ref="AC221:AO221"/>
    <mergeCell ref="AP221:AQ221"/>
    <mergeCell ref="AC222:AO222"/>
    <mergeCell ref="AP222:AQ222"/>
    <mergeCell ref="AC223:AO223"/>
    <mergeCell ref="AP223:AQ223"/>
    <mergeCell ref="AC224:AO224"/>
    <mergeCell ref="AP224:AQ224"/>
    <mergeCell ref="AC225:AO225"/>
    <mergeCell ref="AP225:AQ225"/>
    <mergeCell ref="AC226:AO226"/>
    <mergeCell ref="AP226:AQ226"/>
    <mergeCell ref="AC227:AO227"/>
    <mergeCell ref="AP227:AQ227"/>
    <mergeCell ref="AB237:AI237"/>
    <mergeCell ref="AC229:AO229"/>
    <mergeCell ref="AP229:AQ229"/>
    <mergeCell ref="AB207:AI207"/>
    <mergeCell ref="AB208:AI208"/>
    <mergeCell ref="AB209:AT209"/>
    <mergeCell ref="AB210:AI210"/>
    <mergeCell ref="AB211:AT211"/>
    <mergeCell ref="AB218:AQ218"/>
    <mergeCell ref="AB212:AT212"/>
    <mergeCell ref="AB214:AT214"/>
    <mergeCell ref="AB216:AT216"/>
    <mergeCell ref="AB213:AT213"/>
    <mergeCell ref="AB215:AT215"/>
    <mergeCell ref="AB202:AI202"/>
    <mergeCell ref="AM202:AN202"/>
    <mergeCell ref="AB203:AT203"/>
    <mergeCell ref="AB204:AT204"/>
    <mergeCell ref="AB205:AI205"/>
    <mergeCell ref="AB206:AT206"/>
    <mergeCell ref="AL196:AM196"/>
    <mergeCell ref="AB197:AT197"/>
    <mergeCell ref="AL198:AM198"/>
    <mergeCell ref="AL199:AM199"/>
    <mergeCell ref="AL200:AM200"/>
    <mergeCell ref="AB201:AT201"/>
    <mergeCell ref="AB200:AH200"/>
    <mergeCell ref="AB176:AK176"/>
    <mergeCell ref="AB179:AT179"/>
    <mergeCell ref="AB186:AT186"/>
    <mergeCell ref="AL190:AM190"/>
    <mergeCell ref="AL194:AM194"/>
    <mergeCell ref="AL195:AM195"/>
    <mergeCell ref="AC169:AG169"/>
    <mergeCell ref="AC170:AG170"/>
    <mergeCell ref="AC171:AG171"/>
    <mergeCell ref="AC172:AG172"/>
    <mergeCell ref="AC173:AG173"/>
    <mergeCell ref="AC174:AG174"/>
    <mergeCell ref="AB177:AK177"/>
    <mergeCell ref="AB180:AK180"/>
    <mergeCell ref="AB181:AK181"/>
    <mergeCell ref="AB182:AK182"/>
    <mergeCell ref="AB184:AK184"/>
    <mergeCell ref="AB185:AK185"/>
    <mergeCell ref="AB187:AK187"/>
    <mergeCell ref="AB188:AK188"/>
    <mergeCell ref="AB189:AK189"/>
    <mergeCell ref="AB190:AH190"/>
    <mergeCell ref="AB191:AH191"/>
    <mergeCell ref="AB192:AH192"/>
    <mergeCell ref="AC163:AG163"/>
    <mergeCell ref="AC164:AG164"/>
    <mergeCell ref="AC165:AG165"/>
    <mergeCell ref="AC166:AG166"/>
    <mergeCell ref="AC167:AG167"/>
    <mergeCell ref="AC168:AG168"/>
    <mergeCell ref="AC157:AG157"/>
    <mergeCell ref="AC158:AG158"/>
    <mergeCell ref="AC159:AG159"/>
    <mergeCell ref="AC160:AG160"/>
    <mergeCell ref="AC161:AG161"/>
    <mergeCell ref="AC162:AG162"/>
    <mergeCell ref="AC151:AG151"/>
    <mergeCell ref="AC152:AG152"/>
    <mergeCell ref="AC153:AG153"/>
    <mergeCell ref="AC154:AG154"/>
    <mergeCell ref="AC155:AG155"/>
    <mergeCell ref="AC156:AG156"/>
    <mergeCell ref="AC145:AG145"/>
    <mergeCell ref="AC146:AG146"/>
    <mergeCell ref="AC147:AG147"/>
    <mergeCell ref="AC148:AG148"/>
    <mergeCell ref="AC149:AG149"/>
    <mergeCell ref="AC150:AG150"/>
    <mergeCell ref="AC139:AG139"/>
    <mergeCell ref="AC140:AG140"/>
    <mergeCell ref="AC141:AG141"/>
    <mergeCell ref="AC142:AG142"/>
    <mergeCell ref="AC143:AG143"/>
    <mergeCell ref="AC144:AG144"/>
    <mergeCell ref="AG126:AQ126"/>
    <mergeCell ref="AG127:AQ127"/>
    <mergeCell ref="AG130:AQ130"/>
    <mergeCell ref="AB132:AT132"/>
    <mergeCell ref="AG134:AQ134"/>
    <mergeCell ref="AC138:AG138"/>
    <mergeCell ref="AG129:AQ129"/>
    <mergeCell ref="AB133:AF133"/>
    <mergeCell ref="AB130:AF130"/>
    <mergeCell ref="AB129:AF129"/>
    <mergeCell ref="AB136:AM136"/>
    <mergeCell ref="AB122:AF122"/>
    <mergeCell ref="AG122:AQ122"/>
    <mergeCell ref="AB123:AF123"/>
    <mergeCell ref="AG123:AQ123"/>
    <mergeCell ref="AG124:AQ124"/>
    <mergeCell ref="AG125:AQ125"/>
    <mergeCell ref="AB119:AF119"/>
    <mergeCell ref="AG119:AQ119"/>
    <mergeCell ref="AB120:AF120"/>
    <mergeCell ref="AG120:AQ120"/>
    <mergeCell ref="AB121:AF121"/>
    <mergeCell ref="AG121:AQ121"/>
    <mergeCell ref="AB111:AT111"/>
    <mergeCell ref="AB112:AT112"/>
    <mergeCell ref="AB113:AT113"/>
    <mergeCell ref="AB114:AT114"/>
    <mergeCell ref="AB116:AQ116"/>
    <mergeCell ref="AB118:AQ118"/>
    <mergeCell ref="AB105:AT105"/>
    <mergeCell ref="AB106:AT106"/>
    <mergeCell ref="AB107:AT107"/>
    <mergeCell ref="AB108:AT108"/>
    <mergeCell ref="AB109:AT109"/>
    <mergeCell ref="AB110:AS110"/>
    <mergeCell ref="AB98:AT98"/>
    <mergeCell ref="AB99:AT99"/>
    <mergeCell ref="AB100:AT100"/>
    <mergeCell ref="AB101:AT101"/>
    <mergeCell ref="AB103:AT103"/>
    <mergeCell ref="AB104:AT104"/>
    <mergeCell ref="AB91:AT91"/>
    <mergeCell ref="AB92:AT92"/>
    <mergeCell ref="AB93:AT93"/>
    <mergeCell ref="AB94:AT94"/>
    <mergeCell ref="AB96:AQ96"/>
    <mergeCell ref="AB97:AT97"/>
    <mergeCell ref="AB102:AT102"/>
    <mergeCell ref="AB85:AT85"/>
    <mergeCell ref="AB86:AT86"/>
    <mergeCell ref="AB87:AT87"/>
    <mergeCell ref="AB88:AT88"/>
    <mergeCell ref="AC89:AD89"/>
    <mergeCell ref="AF89:AG89"/>
    <mergeCell ref="AB79:AT79"/>
    <mergeCell ref="AB80:AT80"/>
    <mergeCell ref="AB81:AT81"/>
    <mergeCell ref="AB82:AT82"/>
    <mergeCell ref="AB83:AT83"/>
    <mergeCell ref="AB84:AQ84"/>
    <mergeCell ref="AB70:AT70"/>
    <mergeCell ref="AB71:AT71"/>
    <mergeCell ref="AB74:AT74"/>
    <mergeCell ref="AB75:AQ75"/>
    <mergeCell ref="AB77:AT77"/>
    <mergeCell ref="AB78:AT78"/>
    <mergeCell ref="AB60:AT60"/>
    <mergeCell ref="AB61:AT61"/>
    <mergeCell ref="AB62:AT62"/>
    <mergeCell ref="AB64:AT64"/>
    <mergeCell ref="AB65:AT65"/>
    <mergeCell ref="AB68:AQ68"/>
    <mergeCell ref="AB73:AT73"/>
    <mergeCell ref="AB55:AT55"/>
    <mergeCell ref="AB56:AT56"/>
    <mergeCell ref="AB58:AT58"/>
    <mergeCell ref="AC59:AD59"/>
    <mergeCell ref="AF59:AG59"/>
    <mergeCell ref="AB49:AT49"/>
    <mergeCell ref="AB50:AT50"/>
    <mergeCell ref="AB51:AT51"/>
    <mergeCell ref="AB52:AT52"/>
    <mergeCell ref="AB53:AT53"/>
    <mergeCell ref="AB54:AT54"/>
    <mergeCell ref="AB57:AG57"/>
    <mergeCell ref="AH57:AO57"/>
    <mergeCell ref="AB41:AQ41"/>
    <mergeCell ref="AB43:AT43"/>
    <mergeCell ref="AB45:AT45"/>
    <mergeCell ref="AB46:AT46"/>
    <mergeCell ref="AB47:AT47"/>
    <mergeCell ref="AB48:AT48"/>
    <mergeCell ref="AB38:AG38"/>
    <mergeCell ref="AH38:AI38"/>
    <mergeCell ref="AJ38:AK38"/>
    <mergeCell ref="AL38:AM38"/>
    <mergeCell ref="AN38:AO38"/>
    <mergeCell ref="AB39:AG39"/>
    <mergeCell ref="AH39:AO39"/>
    <mergeCell ref="AB36:AG36"/>
    <mergeCell ref="AH36:AI36"/>
    <mergeCell ref="AJ36:AK36"/>
    <mergeCell ref="AL36:AM36"/>
    <mergeCell ref="AN36:AO36"/>
    <mergeCell ref="AB37:AG37"/>
    <mergeCell ref="AH37:AI37"/>
    <mergeCell ref="AJ37:AK37"/>
    <mergeCell ref="AL37:AM37"/>
    <mergeCell ref="AN37:AO37"/>
    <mergeCell ref="AB31:AF31"/>
    <mergeCell ref="AG31:AQ31"/>
    <mergeCell ref="AR31:AT31"/>
    <mergeCell ref="AB33:AQ33"/>
    <mergeCell ref="AB35:AG35"/>
    <mergeCell ref="AH35:AI35"/>
    <mergeCell ref="AJ35:AK35"/>
    <mergeCell ref="AL35:AM35"/>
    <mergeCell ref="AN35:AO35"/>
    <mergeCell ref="AB30:AF30"/>
    <mergeCell ref="AG30:AQ30"/>
    <mergeCell ref="AB13:AT13"/>
    <mergeCell ref="AG21:AO21"/>
    <mergeCell ref="AB22:AT22"/>
    <mergeCell ref="AG23:AO23"/>
    <mergeCell ref="AB25:AQ25"/>
    <mergeCell ref="AB27:AF27"/>
    <mergeCell ref="AG27:AQ27"/>
    <mergeCell ref="AB7:AT7"/>
    <mergeCell ref="AB8:AT8"/>
    <mergeCell ref="AB9:AT9"/>
    <mergeCell ref="AB10:AT10"/>
    <mergeCell ref="AB11:AT11"/>
    <mergeCell ref="AB12:AT12"/>
    <mergeCell ref="AB28:AF28"/>
    <mergeCell ref="AG28:AQ28"/>
    <mergeCell ref="AB29:AF29"/>
    <mergeCell ref="AG29:AQ29"/>
    <mergeCell ref="AA288:AA290"/>
    <mergeCell ref="AB291:AQ291"/>
    <mergeCell ref="AB292:AQ292"/>
    <mergeCell ref="AB293:AQ293"/>
    <mergeCell ref="AB297:AQ297"/>
    <mergeCell ref="AB300:AQ300"/>
    <mergeCell ref="AB303:AQ303"/>
    <mergeCell ref="AB304:AQ304"/>
    <mergeCell ref="AC306:AE306"/>
    <mergeCell ref="AB294:AQ294"/>
    <mergeCell ref="AB295:AQ295"/>
    <mergeCell ref="AB296:AQ296"/>
    <mergeCell ref="AG305:AH305"/>
    <mergeCell ref="AI305:AJ305"/>
    <mergeCell ref="AK305:AL305"/>
    <mergeCell ref="AG306:AH306"/>
    <mergeCell ref="AB305:AE305"/>
    <mergeCell ref="AI306:AJ306"/>
    <mergeCell ref="AK306:AL306"/>
    <mergeCell ref="AB289:AQ289"/>
    <mergeCell ref="AB298:AQ298"/>
    <mergeCell ref="AB299:AQ299"/>
    <mergeCell ref="AB301:AQ301"/>
    <mergeCell ref="AB302:AQ302"/>
    <mergeCell ref="AB310:AQ310"/>
    <mergeCell ref="AB309:AQ309"/>
    <mergeCell ref="AB311:AQ311"/>
    <mergeCell ref="AB332:AQ332"/>
    <mergeCell ref="AB330:AQ330"/>
    <mergeCell ref="AB329:AG329"/>
    <mergeCell ref="AB331:AG331"/>
    <mergeCell ref="AB333:AG333"/>
    <mergeCell ref="AA361:AA362"/>
    <mergeCell ref="AA345:AA346"/>
    <mergeCell ref="AA314:AA315"/>
    <mergeCell ref="AB337:AQ337"/>
    <mergeCell ref="AB338:AQ338"/>
    <mergeCell ref="AB339:AQ339"/>
    <mergeCell ref="AB340:AF340"/>
    <mergeCell ref="AB341:AF341"/>
    <mergeCell ref="AH341:AQ341"/>
    <mergeCell ref="AB342:AQ342"/>
    <mergeCell ref="AB343:AQ343"/>
    <mergeCell ref="AB361:AQ361"/>
    <mergeCell ref="AB362:AQ362"/>
    <mergeCell ref="AB354:AQ354"/>
    <mergeCell ref="AB356:AQ356"/>
    <mergeCell ref="AB357:AQ357"/>
    <mergeCell ref="AB359:AQ359"/>
    <mergeCell ref="AB367:AQ367"/>
    <mergeCell ref="AB368:AQ368"/>
    <mergeCell ref="AB369:AQ369"/>
    <mergeCell ref="AL378:AQ378"/>
    <mergeCell ref="AL379:AQ379"/>
    <mergeCell ref="AB462:AQ462"/>
    <mergeCell ref="AB463:AQ463"/>
    <mergeCell ref="AB464:AQ464"/>
    <mergeCell ref="AC379:AF379"/>
    <mergeCell ref="AB383:AQ383"/>
    <mergeCell ref="AL456:AQ456"/>
    <mergeCell ref="AC457:AF457"/>
    <mergeCell ref="AL457:AQ457"/>
    <mergeCell ref="AC458:AF458"/>
    <mergeCell ref="AL458:AQ458"/>
    <mergeCell ref="AC454:AG455"/>
    <mergeCell ref="AJ454:AK454"/>
    <mergeCell ref="AL454:AQ455"/>
    <mergeCell ref="AC456:AF456"/>
    <mergeCell ref="AB461:AQ461"/>
    <mergeCell ref="AB459:AQ459"/>
    <mergeCell ref="AB460:AQ460"/>
    <mergeCell ref="AJ371:AK371"/>
    <mergeCell ref="AB345:AQ345"/>
    <mergeCell ref="AB346:AQ346"/>
    <mergeCell ref="AB347:AQ347"/>
    <mergeCell ref="AB355:AQ355"/>
    <mergeCell ref="AB348:AQ348"/>
    <mergeCell ref="AB349:AQ349"/>
    <mergeCell ref="AB350:AQ350"/>
    <mergeCell ref="AB351:AQ351"/>
    <mergeCell ref="AB352:AQ352"/>
    <mergeCell ref="AB353:AQ353"/>
    <mergeCell ref="AA386:AA387"/>
    <mergeCell ref="AB389:AQ389"/>
    <mergeCell ref="AB390:AQ390"/>
    <mergeCell ref="AB395:AQ395"/>
    <mergeCell ref="AB391:AQ391"/>
    <mergeCell ref="AB386:AQ386"/>
    <mergeCell ref="AB387:AQ387"/>
    <mergeCell ref="AB388:AQ388"/>
    <mergeCell ref="AB392:AQ392"/>
    <mergeCell ref="AB393:AQ393"/>
    <mergeCell ref="AB394:AQ394"/>
    <mergeCell ref="AA396:AA397"/>
    <mergeCell ref="AB399:AQ399"/>
    <mergeCell ref="AB400:AQ400"/>
    <mergeCell ref="AB405:AQ405"/>
    <mergeCell ref="AB401:AQ401"/>
    <mergeCell ref="AB396:AQ396"/>
    <mergeCell ref="AB397:AQ397"/>
    <mergeCell ref="AB398:AQ398"/>
    <mergeCell ref="AB402:AQ402"/>
    <mergeCell ref="AB403:AQ403"/>
    <mergeCell ref="AB404:AQ404"/>
    <mergeCell ref="AA406:AA407"/>
    <mergeCell ref="AB409:AQ409"/>
    <mergeCell ref="AB410:AQ410"/>
    <mergeCell ref="AB415:AQ415"/>
    <mergeCell ref="AB411:AQ411"/>
    <mergeCell ref="AB406:AQ406"/>
    <mergeCell ref="AB407:AQ407"/>
    <mergeCell ref="AB408:AQ408"/>
    <mergeCell ref="AB412:AQ412"/>
    <mergeCell ref="AB413:AQ413"/>
    <mergeCell ref="AB414:AQ414"/>
    <mergeCell ref="AA416:AA417"/>
    <mergeCell ref="AB419:AQ419"/>
    <mergeCell ref="AB420:AQ420"/>
    <mergeCell ref="AB425:AQ425"/>
    <mergeCell ref="AB421:AQ421"/>
    <mergeCell ref="AB416:AQ416"/>
    <mergeCell ref="AB417:AQ417"/>
    <mergeCell ref="AB418:AQ418"/>
    <mergeCell ref="AB422:AQ422"/>
    <mergeCell ref="AB423:AQ423"/>
    <mergeCell ref="AB424:AQ424"/>
    <mergeCell ref="AA426:AA427"/>
    <mergeCell ref="AB429:AQ429"/>
    <mergeCell ref="AB430:AQ430"/>
    <mergeCell ref="AB435:AQ435"/>
    <mergeCell ref="AB431:AQ431"/>
    <mergeCell ref="AB426:AQ426"/>
    <mergeCell ref="AB427:AQ427"/>
    <mergeCell ref="AB428:AQ428"/>
    <mergeCell ref="AB432:AQ432"/>
    <mergeCell ref="AB433:AQ433"/>
    <mergeCell ref="AB434:AQ434"/>
    <mergeCell ref="AA436:AA437"/>
    <mergeCell ref="AB439:AQ439"/>
    <mergeCell ref="AB440:AQ440"/>
    <mergeCell ref="AB445:AQ445"/>
    <mergeCell ref="AB441:AQ441"/>
    <mergeCell ref="AB436:AQ436"/>
    <mergeCell ref="AB437:AQ437"/>
    <mergeCell ref="AB438:AQ438"/>
    <mergeCell ref="AB442:AQ442"/>
    <mergeCell ref="AB443:AQ443"/>
    <mergeCell ref="AB444:AQ444"/>
    <mergeCell ref="AA446:AA447"/>
    <mergeCell ref="AB449:AQ449"/>
    <mergeCell ref="AB450:AQ450"/>
    <mergeCell ref="AB453:AQ453"/>
    <mergeCell ref="AB451:AQ451"/>
    <mergeCell ref="AB446:AQ446"/>
    <mergeCell ref="AB447:AQ447"/>
    <mergeCell ref="AB448:AQ448"/>
    <mergeCell ref="AB452:AQ452"/>
    <mergeCell ref="AA508:AA509"/>
    <mergeCell ref="AB512:AQ512"/>
    <mergeCell ref="AB534:AQ534"/>
    <mergeCell ref="AB508:AQ508"/>
    <mergeCell ref="AB509:AQ509"/>
    <mergeCell ref="AB510:AQ510"/>
    <mergeCell ref="AB511:AQ511"/>
    <mergeCell ref="AB513:AQ513"/>
    <mergeCell ref="AC514:AE514"/>
    <mergeCell ref="AC515:AE515"/>
    <mergeCell ref="AG515:AH515"/>
    <mergeCell ref="AI515:AJ515"/>
    <mergeCell ref="AC516:AE516"/>
    <mergeCell ref="AG516:AH516"/>
    <mergeCell ref="AI516:AJ516"/>
    <mergeCell ref="AC517:AE517"/>
    <mergeCell ref="AG517:AH517"/>
    <mergeCell ref="AI517:AJ517"/>
    <mergeCell ref="AC518:AE518"/>
    <mergeCell ref="AG518:AH518"/>
    <mergeCell ref="AI518:AJ518"/>
    <mergeCell ref="AI520:AJ520"/>
    <mergeCell ref="AC521:AE521"/>
    <mergeCell ref="AG521:AH521"/>
    <mergeCell ref="AC529:AE529"/>
    <mergeCell ref="AG529:AH529"/>
    <mergeCell ref="AI529:AJ529"/>
    <mergeCell ref="AC524:AE524"/>
    <mergeCell ref="AG524:AH524"/>
    <mergeCell ref="AI524:AJ524"/>
    <mergeCell ref="AC525:AE525"/>
    <mergeCell ref="AG525:AH525"/>
    <mergeCell ref="AI525:AJ525"/>
    <mergeCell ref="AC526:AE526"/>
    <mergeCell ref="AG526:AH526"/>
    <mergeCell ref="AI526:AJ526"/>
    <mergeCell ref="AC533:AE533"/>
    <mergeCell ref="AG533:AH533"/>
    <mergeCell ref="AI533:AJ533"/>
    <mergeCell ref="AG514:AH514"/>
    <mergeCell ref="AI514:AJ514"/>
    <mergeCell ref="AA554:AA555"/>
    <mergeCell ref="AB558:AQ558"/>
    <mergeCell ref="AB559:AQ559"/>
    <mergeCell ref="AB560:AQ560"/>
    <mergeCell ref="AB553:AQ553"/>
    <mergeCell ref="AC530:AE530"/>
    <mergeCell ref="AG530:AH530"/>
    <mergeCell ref="AI530:AJ530"/>
    <mergeCell ref="AC531:AE531"/>
    <mergeCell ref="AG531:AH531"/>
    <mergeCell ref="AI531:AJ531"/>
    <mergeCell ref="AC532:AE532"/>
    <mergeCell ref="AG532:AH532"/>
    <mergeCell ref="AI532:AJ532"/>
    <mergeCell ref="AC527:AE527"/>
    <mergeCell ref="AG527:AH527"/>
    <mergeCell ref="AI527:AJ527"/>
    <mergeCell ref="AC528:AE528"/>
    <mergeCell ref="AG528:AH528"/>
    <mergeCell ref="AB573:AQ573"/>
    <mergeCell ref="AB576:AQ576"/>
    <mergeCell ref="AB577:AQ577"/>
    <mergeCell ref="AB578:AQ578"/>
    <mergeCell ref="AB579:AQ579"/>
    <mergeCell ref="AB580:AQ580"/>
    <mergeCell ref="AB584:AQ584"/>
    <mergeCell ref="AB589:AP589"/>
    <mergeCell ref="AB605:AQ605"/>
    <mergeCell ref="AB583:AQ583"/>
    <mergeCell ref="AB594:AQ594"/>
    <mergeCell ref="AB595:AQ595"/>
    <mergeCell ref="AB596:AQ596"/>
    <mergeCell ref="AB587:AQ587"/>
    <mergeCell ref="AB588:AQ588"/>
    <mergeCell ref="AB590:AQ590"/>
    <mergeCell ref="AB591:AQ591"/>
    <mergeCell ref="AB592:AQ592"/>
    <mergeCell ref="AB593:AQ593"/>
    <mergeCell ref="AB606:AQ606"/>
    <mergeCell ref="AB607:AQ607"/>
    <mergeCell ref="AB617:AQ617"/>
    <mergeCell ref="AB618:AQ618"/>
    <mergeCell ref="AB619:AQ619"/>
    <mergeCell ref="AB620:AQ620"/>
    <mergeCell ref="AB621:AQ621"/>
    <mergeCell ref="AB622:AQ622"/>
    <mergeCell ref="AB608:AQ608"/>
    <mergeCell ref="AB609:AQ609"/>
    <mergeCell ref="AB636:AQ636"/>
    <mergeCell ref="AB637:AQ637"/>
    <mergeCell ref="AB643:AQ643"/>
    <mergeCell ref="AB644:AQ644"/>
    <mergeCell ref="AB645:AQ645"/>
    <mergeCell ref="AB646:AQ646"/>
    <mergeCell ref="AB650:AQ650"/>
    <mergeCell ref="AB651:AQ651"/>
    <mergeCell ref="AB652:AQ652"/>
    <mergeCell ref="AB653:AQ653"/>
    <mergeCell ref="AB654:AQ654"/>
    <mergeCell ref="AB655:AQ655"/>
    <mergeCell ref="AB656:AQ656"/>
    <mergeCell ref="AB657:AQ657"/>
    <mergeCell ref="AB658:AQ658"/>
    <mergeCell ref="AB659:AQ659"/>
    <mergeCell ref="AB660:AQ660"/>
    <mergeCell ref="AB661:AQ661"/>
    <mergeCell ref="AB662:AQ662"/>
    <mergeCell ref="AB663:AQ663"/>
    <mergeCell ref="AB664:AQ664"/>
    <mergeCell ref="AB665:AQ665"/>
    <mergeCell ref="AB666:AQ666"/>
    <mergeCell ref="AB667:AQ667"/>
    <mergeCell ref="AB668:AQ668"/>
    <mergeCell ref="AB669:AQ669"/>
    <mergeCell ref="AB670:AQ670"/>
    <mergeCell ref="AB671:AQ671"/>
    <mergeCell ref="AB672:AQ672"/>
    <mergeCell ref="AB673:AQ673"/>
    <mergeCell ref="AB674:AQ674"/>
    <mergeCell ref="AB675:AQ675"/>
    <mergeCell ref="AB676:AQ676"/>
    <mergeCell ref="AB677:AQ677"/>
    <mergeCell ref="AB678:AQ678"/>
    <mergeCell ref="AB679:AQ679"/>
    <mergeCell ref="AB680:AQ680"/>
    <mergeCell ref="AB681:AQ681"/>
    <mergeCell ref="AB682:AQ682"/>
    <mergeCell ref="AB683:AQ683"/>
    <mergeCell ref="AB684:AQ684"/>
    <mergeCell ref="AB685:AQ685"/>
    <mergeCell ref="AB686:AQ686"/>
    <mergeCell ref="AB687:AQ687"/>
    <mergeCell ref="AB688:AQ688"/>
    <mergeCell ref="AB689:AQ689"/>
    <mergeCell ref="AB690:AQ690"/>
    <mergeCell ref="AB691:AQ691"/>
    <mergeCell ref="AB692:AQ692"/>
    <mergeCell ref="AB693:AQ693"/>
    <mergeCell ref="AB694:AQ694"/>
    <mergeCell ref="AB695:AQ695"/>
    <mergeCell ref="AB696:AQ696"/>
    <mergeCell ref="AB697:AQ697"/>
    <mergeCell ref="AB698:AQ698"/>
    <mergeCell ref="AB699:AQ699"/>
    <mergeCell ref="AB700:AQ700"/>
    <mergeCell ref="AB701:AQ701"/>
    <mergeCell ref="AB702:AQ702"/>
    <mergeCell ref="AB703:AQ703"/>
    <mergeCell ref="AB704:AQ704"/>
    <mergeCell ref="AB705:AQ705"/>
    <mergeCell ref="AB706:AQ706"/>
    <mergeCell ref="AB707:AQ707"/>
    <mergeCell ref="AB815:AQ815"/>
    <mergeCell ref="AB816:AQ816"/>
    <mergeCell ref="AB818:AQ818"/>
    <mergeCell ref="AB805:AQ805"/>
    <mergeCell ref="AD814:AF814"/>
    <mergeCell ref="AB708:AQ708"/>
    <mergeCell ref="AB709:AQ709"/>
    <mergeCell ref="AB710:AQ710"/>
    <mergeCell ref="AB711:AQ711"/>
    <mergeCell ref="AB732:AQ732"/>
    <mergeCell ref="AB733:AQ733"/>
    <mergeCell ref="AB735:AQ735"/>
    <mergeCell ref="AB736:AQ736"/>
    <mergeCell ref="AB737:AQ737"/>
    <mergeCell ref="AC734:AQ734"/>
    <mergeCell ref="AB713:AQ713"/>
    <mergeCell ref="AB714:AQ714"/>
    <mergeCell ref="AB715:AQ715"/>
    <mergeCell ref="AB723:AQ723"/>
    <mergeCell ref="AB724:AQ724"/>
    <mergeCell ref="AB716:AQ716"/>
    <mergeCell ref="AD773:AG773"/>
    <mergeCell ref="AD808:AF808"/>
    <mergeCell ref="AD750:AF750"/>
    <mergeCell ref="AD751:AF751"/>
    <mergeCell ref="AD809:AF809"/>
    <mergeCell ref="AD780:AF780"/>
    <mergeCell ref="AD781:AF781"/>
    <mergeCell ref="AD782:AF782"/>
    <mergeCell ref="AB806:AQ806"/>
    <mergeCell ref="AB757:AQ757"/>
    <mergeCell ref="AC753:AQ753"/>
    <mergeCell ref="AD772:AG772"/>
    <mergeCell ref="AC777:AQ777"/>
    <mergeCell ref="AB779:AQ779"/>
    <mergeCell ref="AB804:AQ804"/>
    <mergeCell ref="AB778:AQ778"/>
    <mergeCell ref="AD807:AF807"/>
    <mergeCell ref="AB801:AQ801"/>
    <mergeCell ref="AB802:AQ802"/>
    <mergeCell ref="AB803:AQ803"/>
  </mergeCells>
  <dataValidations count="3">
    <dataValidation type="decimal" allowBlank="1" showErrorMessage="1" errorTitle="Ошибка" error="Допускается ввод только неотрицательных чисел!" sqref="AJ266:AJ273 AF266:AG273 AE548 AE550" xr:uid="{00000000-0002-0000-1D00-000000000000}">
      <formula1>0</formula1>
      <formula2>9.99999999999999E+23</formula2>
    </dataValidation>
    <dataValidation type="list" allowBlank="1" showInputMessage="1" showErrorMessage="1" sqref="AG130:AQ130" xr:uid="{00000000-0002-0000-1D00-000001000000}">
      <formula1>EZ_DPR</formula1>
    </dataValidation>
    <dataValidation type="list" allowBlank="1" showInputMessage="1" showErrorMessage="1" sqref="AG125:AQ127" xr:uid="{00000000-0002-0000-1D00-000002000000}">
      <formula1>YES_NO</formula1>
    </dataValidation>
  </dataValidations>
  <hyperlinks>
    <hyperlink ref="AP229:AQ229" r:id="rId1" display="http://sgarantgkh@list.ru/" xr:uid="{00000000-0004-0000-1D00-000000000000}"/>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770"/>
  <sheetViews>
    <sheetView showGridLines="0" topLeftCell="AA20" workbookViewId="0">
      <selection activeCell="AA20" sqref="AA20"/>
    </sheetView>
  </sheetViews>
  <sheetFormatPr defaultColWidth="9.140625" defaultRowHeight="11.45" customHeight="1" outlineLevelRow="2"/>
  <cols>
    <col min="1" max="26" width="13.7109375" hidden="1" customWidth="1"/>
    <col min="27" max="27" width="6.85546875" customWidth="1"/>
    <col min="28" max="29" width="13.7109375" customWidth="1"/>
    <col min="32" max="32" width="10.28515625" customWidth="1"/>
    <col min="33" max="34" width="13.7109375" customWidth="1"/>
    <col min="35" max="36" width="14.85546875" customWidth="1"/>
    <col min="37" max="37" width="13.7109375" customWidth="1"/>
    <col min="38" max="38" width="14.85546875" customWidth="1"/>
    <col min="39" max="39" width="11.42578125" customWidth="1"/>
    <col min="40" max="40" width="10.28515625" customWidth="1"/>
    <col min="41" max="42" width="11.42578125" customWidth="1"/>
    <col min="43" max="43" width="10.28515625" customWidth="1"/>
    <col min="44" max="44" width="11.42578125" customWidth="1"/>
    <col min="46" max="46" width="12.5703125" customWidth="1"/>
    <col min="47" max="47" width="9.140625" hidden="1"/>
  </cols>
  <sheetData>
    <row r="1" spans="1:47" ht="14.25" hidden="1" customHeight="1">
      <c r="A1" s="153"/>
    </row>
    <row r="2" spans="1:47" ht="14.25" hidden="1" customHeight="1"/>
    <row r="3" spans="1:47" ht="14.25" hidden="1" customHeight="1"/>
    <row r="4" spans="1:47" ht="14.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96</v>
      </c>
      <c r="AC4" s="1">
        <v>96</v>
      </c>
      <c r="AD4" s="1">
        <v>64</v>
      </c>
      <c r="AE4" s="1">
        <v>64</v>
      </c>
      <c r="AF4" s="1">
        <v>72</v>
      </c>
      <c r="AG4" s="1">
        <v>96</v>
      </c>
      <c r="AH4" s="1">
        <v>96</v>
      </c>
      <c r="AI4" s="1">
        <v>104</v>
      </c>
      <c r="AJ4" s="1">
        <v>104</v>
      </c>
      <c r="AK4" s="1">
        <v>96</v>
      </c>
      <c r="AL4" s="1">
        <v>104</v>
      </c>
      <c r="AM4" s="1">
        <v>80</v>
      </c>
      <c r="AN4" s="1">
        <v>72</v>
      </c>
      <c r="AO4" s="1">
        <v>80</v>
      </c>
      <c r="AP4" s="1">
        <v>80</v>
      </c>
      <c r="AQ4" s="1">
        <v>72</v>
      </c>
      <c r="AR4" s="1">
        <v>80</v>
      </c>
      <c r="AS4" s="1">
        <v>64</v>
      </c>
      <c r="AT4" s="1">
        <v>88</v>
      </c>
      <c r="AU4" s="2">
        <v>0</v>
      </c>
    </row>
    <row r="5" spans="1:47" ht="14.25" hidden="1" customHeight="1">
      <c r="D5" s="1">
        <v>40</v>
      </c>
    </row>
    <row r="6" spans="1:47" ht="14.25" hidden="1" customHeight="1">
      <c r="D6" s="1">
        <v>40</v>
      </c>
    </row>
    <row r="7" spans="1:47" ht="14.25" hidden="1" customHeight="1">
      <c r="D7" s="1">
        <v>40</v>
      </c>
      <c r="AB7" s="781"/>
      <c r="AC7" s="781"/>
      <c r="AD7" s="781"/>
      <c r="AE7" s="781"/>
      <c r="AF7" s="781"/>
      <c r="AG7" s="781"/>
      <c r="AH7" s="781"/>
      <c r="AI7" s="781"/>
      <c r="AJ7" s="781"/>
      <c r="AK7" s="781"/>
      <c r="AL7" s="781"/>
      <c r="AM7" s="781"/>
      <c r="AN7" s="781"/>
      <c r="AO7" s="781"/>
      <c r="AP7" s="781"/>
      <c r="AQ7" s="781"/>
      <c r="AR7" s="781"/>
      <c r="AS7" s="781"/>
      <c r="AT7" s="781"/>
    </row>
    <row r="8" spans="1:47" ht="14.25" hidden="1" customHeight="1">
      <c r="D8" s="1">
        <v>40</v>
      </c>
      <c r="AB8" s="781"/>
      <c r="AC8" s="781"/>
      <c r="AD8" s="781"/>
      <c r="AE8" s="781"/>
      <c r="AF8" s="781"/>
      <c r="AG8" s="781"/>
      <c r="AH8" s="781"/>
      <c r="AI8" s="781"/>
      <c r="AJ8" s="781"/>
      <c r="AK8" s="781"/>
      <c r="AL8" s="781"/>
      <c r="AM8" s="781"/>
      <c r="AN8" s="781"/>
      <c r="AO8" s="781"/>
      <c r="AP8" s="781"/>
      <c r="AQ8" s="781"/>
      <c r="AR8" s="781"/>
      <c r="AS8" s="781"/>
      <c r="AT8" s="781"/>
    </row>
    <row r="9" spans="1:47" ht="14.25" hidden="1" customHeight="1">
      <c r="D9" s="1">
        <v>40</v>
      </c>
      <c r="AB9" s="781"/>
      <c r="AC9" s="781"/>
      <c r="AD9" s="781"/>
      <c r="AE9" s="781"/>
      <c r="AF9" s="781"/>
      <c r="AG9" s="781"/>
      <c r="AH9" s="781"/>
      <c r="AI9" s="781"/>
      <c r="AJ9" s="781"/>
      <c r="AK9" s="781"/>
      <c r="AL9" s="781"/>
      <c r="AM9" s="781"/>
      <c r="AN9" s="781"/>
      <c r="AO9" s="781"/>
      <c r="AP9" s="781"/>
      <c r="AQ9" s="781"/>
      <c r="AR9" s="781"/>
      <c r="AS9" s="781"/>
      <c r="AT9" s="781"/>
    </row>
    <row r="10" spans="1:47" ht="14.25" hidden="1" customHeight="1">
      <c r="D10" s="1">
        <v>40</v>
      </c>
      <c r="AB10" s="781"/>
      <c r="AC10" s="781"/>
      <c r="AD10" s="781"/>
      <c r="AE10" s="781"/>
      <c r="AF10" s="781"/>
      <c r="AG10" s="781"/>
      <c r="AH10" s="781"/>
      <c r="AI10" s="781"/>
      <c r="AJ10" s="781"/>
      <c r="AK10" s="781"/>
      <c r="AL10" s="781"/>
      <c r="AM10" s="781"/>
      <c r="AN10" s="781"/>
      <c r="AO10" s="781"/>
      <c r="AP10" s="781"/>
      <c r="AQ10" s="781"/>
      <c r="AR10" s="781"/>
      <c r="AS10" s="781"/>
      <c r="AT10" s="781"/>
    </row>
    <row r="11" spans="1:47" ht="14.25" hidden="1" customHeight="1">
      <c r="D11" s="1">
        <v>40</v>
      </c>
      <c r="AB11" s="781"/>
      <c r="AC11" s="781"/>
      <c r="AD11" s="781"/>
      <c r="AE11" s="781"/>
      <c r="AF11" s="781"/>
      <c r="AG11" s="781"/>
      <c r="AH11" s="781"/>
      <c r="AI11" s="781"/>
      <c r="AJ11" s="781"/>
      <c r="AK11" s="781"/>
      <c r="AL11" s="781"/>
      <c r="AM11" s="781"/>
      <c r="AN11" s="781"/>
      <c r="AO11" s="781"/>
      <c r="AP11" s="781"/>
      <c r="AQ11" s="781"/>
      <c r="AR11" s="781"/>
      <c r="AS11" s="781"/>
      <c r="AT11" s="781"/>
    </row>
    <row r="12" spans="1:47" ht="14.25" hidden="1" customHeight="1">
      <c r="D12" s="1">
        <v>40</v>
      </c>
      <c r="AB12" s="781"/>
      <c r="AC12" s="781"/>
      <c r="AD12" s="781"/>
      <c r="AE12" s="781"/>
      <c r="AF12" s="781"/>
      <c r="AG12" s="781"/>
      <c r="AH12" s="781"/>
      <c r="AI12" s="781"/>
      <c r="AJ12" s="781"/>
      <c r="AK12" s="781"/>
      <c r="AL12" s="781"/>
      <c r="AM12" s="781"/>
      <c r="AN12" s="781"/>
      <c r="AO12" s="781"/>
      <c r="AP12" s="781"/>
      <c r="AQ12" s="781"/>
      <c r="AR12" s="781"/>
      <c r="AS12" s="781"/>
      <c r="AT12" s="781"/>
    </row>
    <row r="13" spans="1:47" ht="14.25" hidden="1" customHeight="1"/>
    <row r="14" spans="1:47" ht="14.25" hidden="1" customHeight="1"/>
    <row r="15" spans="1:47" ht="14.25" hidden="1" customHeight="1"/>
    <row r="16" spans="1:47" ht="14.25" hidden="1" customHeight="1"/>
    <row r="17" spans="4:46" ht="14.25" hidden="1" customHeight="1"/>
    <row r="18" spans="4:46" ht="14.25" hidden="1" customHeight="1"/>
    <row r="19" spans="4:46" ht="14.25" hidden="1" customHeight="1">
      <c r="D19" s="1">
        <v>40</v>
      </c>
      <c r="AB19" s="781"/>
      <c r="AC19" s="781"/>
      <c r="AD19" s="781"/>
      <c r="AE19" s="781"/>
      <c r="AF19" s="781"/>
      <c r="AG19" s="781"/>
      <c r="AH19" s="781"/>
      <c r="AI19" s="781"/>
      <c r="AJ19" s="781"/>
      <c r="AK19" s="781"/>
      <c r="AL19" s="781"/>
      <c r="AM19" s="781"/>
      <c r="AN19" s="781"/>
      <c r="AO19" s="781"/>
      <c r="AP19" s="781"/>
      <c r="AQ19" s="781"/>
      <c r="AR19" s="781"/>
      <c r="AS19" s="781"/>
      <c r="AT19" s="781"/>
    </row>
    <row r="20" spans="4:46" ht="30" customHeight="1">
      <c r="D20" s="1">
        <v>40</v>
      </c>
    </row>
    <row r="21" spans="4:46" ht="30" customHeight="1">
      <c r="D21" s="1">
        <v>40</v>
      </c>
      <c r="AG21" s="937"/>
      <c r="AH21" s="937"/>
      <c r="AI21" s="937"/>
      <c r="AJ21" s="937"/>
      <c r="AK21" s="937"/>
      <c r="AL21" s="937"/>
      <c r="AM21" s="937"/>
      <c r="AN21" s="937"/>
      <c r="AO21" s="937"/>
    </row>
    <row r="22" spans="4:46" ht="30" customHeight="1">
      <c r="D22" s="1">
        <v>40</v>
      </c>
      <c r="AB22" s="938" t="str">
        <f>"Экспертное заключение об установлении тарифов на услуги по передаче электрической энергии по сетям "&amp;Титульный!AC27&amp;" на "&amp;Титульный!AC34&amp;" год в рамках долгосрочного периода регулирования ("&amp;Титульный!AC47&amp;" г.г.)"</f>
        <v>Экспертное заключение об установлении тарифов на услуги по передаче электрической энергии по сетям МУП "Горэлектросети" на 2026 год в рамках долгосрочного периода регулирования (2026-2030 г.г.)</v>
      </c>
      <c r="AC22" s="781"/>
      <c r="AD22" s="781"/>
      <c r="AE22" s="781"/>
      <c r="AF22" s="781"/>
      <c r="AG22" s="781"/>
      <c r="AH22" s="781"/>
      <c r="AI22" s="781"/>
      <c r="AJ22" s="781"/>
      <c r="AK22" s="781"/>
      <c r="AL22" s="781"/>
      <c r="AM22" s="781"/>
      <c r="AN22" s="781"/>
      <c r="AO22" s="781"/>
      <c r="AP22" s="781"/>
      <c r="AQ22" s="781"/>
      <c r="AR22" s="781"/>
      <c r="AS22" s="781"/>
      <c r="AT22" s="781"/>
    </row>
    <row r="23" spans="4:46" ht="30" customHeight="1">
      <c r="D23" s="1">
        <v>40</v>
      </c>
      <c r="AG23" s="939" t="str">
        <f>"Экспертиза выполнена на основании материалов, представленных
на утверждение в "&amp;AG21</f>
        <v xml:space="preserve">Экспертиза выполнена на основании материалов, представленных
на утверждение в </v>
      </c>
      <c r="AH23" s="781"/>
      <c r="AI23" s="781"/>
      <c r="AJ23" s="781"/>
      <c r="AK23" s="939" t="s">
        <v>1295</v>
      </c>
      <c r="AL23" s="781"/>
      <c r="AM23" s="781"/>
      <c r="AN23" s="781"/>
      <c r="AO23" s="781"/>
    </row>
    <row r="24" spans="4:46" ht="30" customHeight="1">
      <c r="D24" s="1">
        <v>40</v>
      </c>
    </row>
    <row r="25" spans="4:46" ht="30" customHeight="1">
      <c r="D25" s="1">
        <v>40</v>
      </c>
      <c r="AB25" s="940" t="s">
        <v>1296</v>
      </c>
      <c r="AC25" s="781"/>
      <c r="AD25" s="781"/>
      <c r="AE25" s="781"/>
      <c r="AF25" s="781"/>
      <c r="AG25" s="781"/>
      <c r="AH25" s="781"/>
      <c r="AI25" s="781"/>
      <c r="AJ25" s="781"/>
      <c r="AK25" s="781"/>
      <c r="AL25" s="781"/>
      <c r="AM25" s="781"/>
      <c r="AN25" s="781"/>
      <c r="AO25" s="781"/>
      <c r="AP25" s="781"/>
      <c r="AQ25" s="781"/>
    </row>
    <row r="26" spans="4:46" ht="18" customHeight="1">
      <c r="D26" s="1">
        <v>24</v>
      </c>
    </row>
    <row r="27" spans="4:46" ht="13.5" customHeight="1">
      <c r="D27" s="1">
        <v>18</v>
      </c>
      <c r="AB27" s="936" t="s">
        <v>1297</v>
      </c>
      <c r="AC27" s="781"/>
      <c r="AD27" s="781"/>
      <c r="AE27" s="781"/>
      <c r="AF27" s="781"/>
      <c r="AG27" s="894" t="str">
        <f>Титульный!AC27</f>
        <v>МУП "Горэлектросети"</v>
      </c>
      <c r="AH27" s="894"/>
      <c r="AI27" s="894"/>
      <c r="AJ27" s="894"/>
      <c r="AK27" s="894"/>
      <c r="AL27" s="894"/>
      <c r="AM27" s="894"/>
      <c r="AN27" s="894"/>
      <c r="AO27" s="894"/>
      <c r="AP27" s="894"/>
      <c r="AQ27" s="894"/>
    </row>
    <row r="28" spans="4:46" ht="13.5" customHeight="1">
      <c r="D28" s="1">
        <v>18</v>
      </c>
      <c r="AB28" s="936" t="s">
        <v>1298</v>
      </c>
      <c r="AC28" s="781"/>
      <c r="AD28" s="781"/>
      <c r="AE28" s="781"/>
      <c r="AF28" s="781"/>
      <c r="AG28" s="894" t="str">
        <f>Титульный!AC31&amp;" / "&amp;Титульный!AC32</f>
        <v>0400000157 / 041101001</v>
      </c>
      <c r="AH28" s="894"/>
      <c r="AI28" s="894"/>
      <c r="AJ28" s="894"/>
      <c r="AK28" s="894"/>
      <c r="AL28" s="894"/>
      <c r="AM28" s="894"/>
      <c r="AN28" s="894"/>
      <c r="AO28" s="894"/>
      <c r="AP28" s="894"/>
      <c r="AQ28" s="894"/>
    </row>
    <row r="29" spans="4:46" ht="13.5" customHeight="1">
      <c r="D29" s="1">
        <v>18</v>
      </c>
      <c r="AB29" s="936" t="s">
        <v>1299</v>
      </c>
      <c r="AC29" s="781"/>
      <c r="AD29" s="781"/>
      <c r="AE29" s="781"/>
      <c r="AF29" s="781"/>
      <c r="AG29" s="894" t="str">
        <f>Титульный!AC74</f>
        <v>649002, г. Горно-Алтайск ул. Связистов 1</v>
      </c>
      <c r="AH29" s="894"/>
      <c r="AI29" s="894"/>
      <c r="AJ29" s="894"/>
      <c r="AK29" s="894"/>
      <c r="AL29" s="894"/>
      <c r="AM29" s="894"/>
      <c r="AN29" s="894"/>
      <c r="AO29" s="894"/>
      <c r="AP29" s="894"/>
      <c r="AQ29" s="894"/>
    </row>
    <row r="30" spans="4:46" ht="13.5" customHeight="1">
      <c r="D30" s="1">
        <v>18</v>
      </c>
      <c r="AB30" s="936" t="s">
        <v>1300</v>
      </c>
      <c r="AC30" s="781"/>
      <c r="AD30" s="781"/>
      <c r="AE30" s="781"/>
      <c r="AF30" s="781"/>
      <c r="AG30" s="894" t="str">
        <f>Титульный!AC78</f>
        <v>Коренов Анатолий Аркадьевич</v>
      </c>
      <c r="AH30" s="894"/>
      <c r="AI30" s="894"/>
      <c r="AJ30" s="894"/>
      <c r="AK30" s="894"/>
      <c r="AL30" s="894"/>
      <c r="AM30" s="894"/>
      <c r="AN30" s="894"/>
      <c r="AO30" s="894"/>
      <c r="AP30" s="894"/>
      <c r="AQ30" s="894"/>
    </row>
    <row r="31" spans="4:46" ht="13.5" customHeight="1">
      <c r="D31" s="1">
        <v>18</v>
      </c>
      <c r="AB31" s="936" t="s">
        <v>1301</v>
      </c>
      <c r="AC31" s="781"/>
      <c r="AD31" s="781"/>
      <c r="AE31" s="781"/>
      <c r="AF31" s="781"/>
      <c r="AG31" s="894" t="str">
        <f>Титульный!AC86</f>
        <v>Кукин Сергей Анатольевич</v>
      </c>
      <c r="AH31" s="894"/>
      <c r="AI31" s="894"/>
      <c r="AJ31" s="894"/>
      <c r="AK31" s="894"/>
      <c r="AL31" s="894"/>
      <c r="AM31" s="894"/>
      <c r="AN31" s="894"/>
      <c r="AO31" s="894"/>
      <c r="AP31" s="894"/>
      <c r="AQ31" s="894"/>
      <c r="AR31" s="781"/>
      <c r="AS31" s="781"/>
      <c r="AT31" s="781"/>
    </row>
    <row r="32" spans="4:46" ht="13.5" customHeight="1">
      <c r="D32" s="1">
        <v>18</v>
      </c>
    </row>
    <row r="33" spans="4:46" ht="13.5" customHeight="1">
      <c r="D33" s="1">
        <v>18</v>
      </c>
      <c r="AB33" s="940" t="s">
        <v>1302</v>
      </c>
      <c r="AC33" s="781"/>
      <c r="AD33" s="781"/>
      <c r="AE33" s="781"/>
      <c r="AF33" s="781"/>
      <c r="AG33" s="781"/>
      <c r="AH33" s="781"/>
      <c r="AI33" s="781"/>
      <c r="AJ33" s="781"/>
      <c r="AK33" s="781"/>
      <c r="AL33" s="781"/>
      <c r="AM33" s="781"/>
      <c r="AN33" s="781"/>
      <c r="AO33" s="781"/>
      <c r="AP33" s="781"/>
      <c r="AQ33" s="781"/>
    </row>
    <row r="34" spans="4:46" ht="13.5" customHeight="1">
      <c r="D34" s="1">
        <v>18</v>
      </c>
    </row>
    <row r="35" spans="4:46" ht="13.5" customHeight="1">
      <c r="D35" s="1">
        <v>18</v>
      </c>
      <c r="AB35" s="936" t="s">
        <v>1303</v>
      </c>
      <c r="AC35" s="781"/>
      <c r="AD35" s="781"/>
      <c r="AE35" s="781"/>
      <c r="AF35" s="781"/>
      <c r="AG35" s="781"/>
      <c r="AH35" s="941" t="s">
        <v>1304</v>
      </c>
      <c r="AI35" s="781"/>
      <c r="AJ35" s="942"/>
      <c r="AK35" s="942"/>
      <c r="AL35" s="941" t="s">
        <v>1305</v>
      </c>
      <c r="AM35" s="781"/>
      <c r="AN35" s="943"/>
      <c r="AO35" s="943"/>
    </row>
    <row r="36" spans="4:46" ht="27.75" customHeight="1">
      <c r="D36" s="1">
        <v>37</v>
      </c>
      <c r="AB36" s="936" t="s">
        <v>1623</v>
      </c>
      <c r="AC36" s="781"/>
      <c r="AD36" s="781"/>
      <c r="AE36" s="781"/>
      <c r="AF36" s="781"/>
      <c r="AG36" s="781"/>
      <c r="AH36" s="941" t="s">
        <v>1304</v>
      </c>
      <c r="AI36" s="781"/>
      <c r="AJ36" s="942"/>
      <c r="AK36" s="942"/>
      <c r="AL36" s="941" t="s">
        <v>1305</v>
      </c>
      <c r="AM36" s="781"/>
      <c r="AN36" s="943"/>
      <c r="AO36" s="943"/>
    </row>
    <row r="37" spans="4:46" ht="13.5" customHeight="1">
      <c r="D37" s="1">
        <v>18</v>
      </c>
      <c r="AB37" s="936" t="s">
        <v>1306</v>
      </c>
      <c r="AC37" s="781"/>
      <c r="AD37" s="781"/>
      <c r="AE37" s="781"/>
      <c r="AF37" s="781"/>
      <c r="AG37" s="781"/>
      <c r="AH37" s="941" t="s">
        <v>1304</v>
      </c>
      <c r="AI37" s="781"/>
      <c r="AJ37" s="942"/>
      <c r="AK37" s="942"/>
      <c r="AL37" s="781"/>
      <c r="AM37" s="781"/>
      <c r="AN37" s="781"/>
      <c r="AO37" s="781"/>
    </row>
    <row r="38" spans="4:46" ht="13.5" customHeight="1">
      <c r="D38" s="1">
        <v>18</v>
      </c>
      <c r="AB38" s="936" t="s">
        <v>1307</v>
      </c>
      <c r="AC38" s="781"/>
      <c r="AD38" s="781"/>
      <c r="AE38" s="781"/>
      <c r="AF38" s="781"/>
      <c r="AG38" s="781"/>
      <c r="AH38" s="941" t="s">
        <v>1304</v>
      </c>
      <c r="AI38" s="781"/>
      <c r="AJ38" s="942"/>
      <c r="AK38" s="942"/>
      <c r="AL38" s="941" t="s">
        <v>1305</v>
      </c>
      <c r="AM38" s="781"/>
      <c r="AN38" s="943"/>
      <c r="AO38" s="943"/>
    </row>
    <row r="39" spans="4:46" ht="13.5" customHeight="1">
      <c r="D39" s="1">
        <v>18</v>
      </c>
      <c r="AB39" s="936" t="s">
        <v>1308</v>
      </c>
      <c r="AC39" s="781"/>
      <c r="AD39" s="781"/>
      <c r="AE39" s="781"/>
      <c r="AF39" s="781"/>
      <c r="AG39" s="781"/>
      <c r="AH39" s="941" t="s">
        <v>1309</v>
      </c>
      <c r="AI39" s="781"/>
      <c r="AJ39" s="945"/>
      <c r="AK39" s="945"/>
      <c r="AL39" s="941" t="s">
        <v>1310</v>
      </c>
      <c r="AM39" s="781"/>
      <c r="AN39" s="942"/>
      <c r="AO39" s="942"/>
    </row>
    <row r="40" spans="4:46" ht="13.5" customHeight="1">
      <c r="D40" s="1">
        <v>18</v>
      </c>
      <c r="AB40" s="936" t="s">
        <v>1311</v>
      </c>
      <c r="AC40" s="781"/>
      <c r="AD40" s="781"/>
      <c r="AE40" s="781"/>
      <c r="AF40" s="781"/>
      <c r="AG40" s="781"/>
      <c r="AH40" s="943"/>
      <c r="AI40" s="943"/>
      <c r="AJ40" s="943"/>
      <c r="AK40" s="943"/>
      <c r="AL40" s="943"/>
      <c r="AM40" s="943"/>
      <c r="AN40" s="943"/>
      <c r="AO40" s="943"/>
    </row>
    <row r="41" spans="4:46" ht="13.5" customHeight="1">
      <c r="D41" s="1">
        <v>18</v>
      </c>
      <c r="AB41" s="936" t="s">
        <v>1624</v>
      </c>
      <c r="AC41" s="781"/>
      <c r="AD41" s="781"/>
      <c r="AE41" s="781"/>
      <c r="AF41" s="781"/>
      <c r="AG41" s="781"/>
      <c r="AH41" s="943"/>
      <c r="AI41" s="943"/>
      <c r="AJ41" s="943"/>
      <c r="AK41" s="943"/>
      <c r="AL41" s="943"/>
      <c r="AM41" s="943"/>
      <c r="AN41" s="943"/>
      <c r="AO41" s="943"/>
    </row>
    <row r="42" spans="4:46" ht="13.5" customHeight="1">
      <c r="D42" s="1">
        <v>18</v>
      </c>
    </row>
    <row r="43" spans="4:46" ht="13.5" customHeight="1">
      <c r="D43" s="1">
        <v>18</v>
      </c>
      <c r="AB43" s="940" t="s">
        <v>1312</v>
      </c>
      <c r="AC43" s="781"/>
      <c r="AD43" s="781"/>
      <c r="AE43" s="781"/>
      <c r="AF43" s="781"/>
      <c r="AG43" s="781"/>
      <c r="AH43" s="781"/>
      <c r="AI43" s="781"/>
      <c r="AJ43" s="781"/>
      <c r="AK43" s="781"/>
      <c r="AL43" s="781"/>
      <c r="AM43" s="781"/>
      <c r="AN43" s="781"/>
      <c r="AO43" s="781"/>
      <c r="AP43" s="781"/>
      <c r="AQ43" s="781"/>
    </row>
    <row r="44" spans="4:46" ht="13.5" customHeight="1">
      <c r="D44" s="1">
        <v>18</v>
      </c>
    </row>
    <row r="45" spans="4:46" ht="31.5" customHeight="1">
      <c r="D45" s="1">
        <v>42</v>
      </c>
      <c r="AB45" s="1008" t="s">
        <v>1313</v>
      </c>
      <c r="AC45" s="781"/>
      <c r="AD45" s="781"/>
      <c r="AE45" s="781"/>
      <c r="AF45" s="781"/>
      <c r="AG45" s="781"/>
      <c r="AH45" s="781"/>
      <c r="AI45" s="781"/>
      <c r="AJ45" s="781"/>
      <c r="AK45" s="781"/>
      <c r="AL45" s="781"/>
      <c r="AM45" s="781"/>
      <c r="AN45" s="781"/>
      <c r="AO45" s="781"/>
      <c r="AP45" s="781"/>
      <c r="AQ45" s="781"/>
      <c r="AR45" s="781"/>
      <c r="AS45" s="781"/>
      <c r="AT45" s="781"/>
    </row>
    <row r="46" spans="4:46" ht="13.5" customHeight="1">
      <c r="D46" s="1">
        <v>18</v>
      </c>
    </row>
    <row r="47" spans="4:46" ht="13.5" customHeight="1">
      <c r="D47" s="1">
        <v>18</v>
      </c>
      <c r="AB47" s="1009" t="s">
        <v>1314</v>
      </c>
      <c r="AC47" s="1009"/>
      <c r="AD47" s="1009"/>
      <c r="AE47" s="1009"/>
      <c r="AF47" s="1009"/>
      <c r="AG47" s="1009"/>
      <c r="AH47" s="1009"/>
      <c r="AI47" s="1009"/>
      <c r="AJ47" s="1009"/>
      <c r="AK47" s="1009"/>
      <c r="AL47" s="1009"/>
      <c r="AM47" s="1009"/>
      <c r="AN47" s="1009"/>
      <c r="AO47" s="1009"/>
      <c r="AP47" s="1009"/>
      <c r="AQ47" s="1009"/>
      <c r="AR47" s="1009"/>
      <c r="AS47" s="1009"/>
      <c r="AT47" s="1009"/>
    </row>
    <row r="48" spans="4:46" ht="13.5" customHeight="1">
      <c r="D48" s="1">
        <v>18</v>
      </c>
      <c r="AB48" s="1009" t="s">
        <v>1315</v>
      </c>
      <c r="AC48" s="1009"/>
      <c r="AD48" s="1009"/>
      <c r="AE48" s="1009"/>
      <c r="AF48" s="1009"/>
      <c r="AG48" s="1009"/>
      <c r="AH48" s="1009"/>
      <c r="AI48" s="1009"/>
      <c r="AJ48" s="1009"/>
      <c r="AK48" s="1009"/>
      <c r="AL48" s="1009"/>
      <c r="AM48" s="1009"/>
      <c r="AN48" s="1009"/>
      <c r="AO48" s="1009"/>
      <c r="AP48" s="1009"/>
      <c r="AQ48" s="1009"/>
      <c r="AR48" s="1009"/>
      <c r="AS48" s="1009"/>
      <c r="AT48" s="1009"/>
    </row>
    <row r="49" spans="4:46" ht="13.5" customHeight="1">
      <c r="D49" s="1">
        <v>18</v>
      </c>
      <c r="AB49" s="1009" t="s">
        <v>1316</v>
      </c>
      <c r="AC49" s="1009"/>
      <c r="AD49" s="1009"/>
      <c r="AE49" s="1009"/>
      <c r="AF49" s="1009"/>
      <c r="AG49" s="1009"/>
      <c r="AH49" s="1009"/>
      <c r="AI49" s="1009"/>
      <c r="AJ49" s="1009"/>
      <c r="AK49" s="1009"/>
      <c r="AL49" s="1009"/>
      <c r="AM49" s="1009"/>
      <c r="AN49" s="1009"/>
      <c r="AO49" s="1009"/>
      <c r="AP49" s="1009"/>
      <c r="AQ49" s="1009"/>
      <c r="AR49" s="1009"/>
      <c r="AS49" s="1009"/>
      <c r="AT49" s="1009"/>
    </row>
    <row r="50" spans="4:46" ht="13.5" customHeight="1">
      <c r="D50" s="1">
        <v>18</v>
      </c>
      <c r="AB50" s="894" t="s">
        <v>1317</v>
      </c>
      <c r="AC50" s="894"/>
      <c r="AD50" s="894"/>
      <c r="AE50" s="894"/>
      <c r="AF50" s="894"/>
      <c r="AG50" s="894"/>
      <c r="AH50" s="894"/>
      <c r="AI50" s="894"/>
      <c r="AJ50" s="894"/>
      <c r="AK50" s="894"/>
      <c r="AL50" s="894"/>
      <c r="AM50" s="894"/>
      <c r="AN50" s="894"/>
      <c r="AO50" s="894"/>
      <c r="AP50" s="894"/>
      <c r="AQ50" s="894"/>
      <c r="AR50" s="894"/>
      <c r="AS50" s="894"/>
      <c r="AT50" s="894"/>
    </row>
    <row r="51" spans="4:46" ht="13.5" customHeight="1">
      <c r="D51" s="1">
        <v>18</v>
      </c>
      <c r="AB51" s="894" t="s">
        <v>1318</v>
      </c>
      <c r="AC51" s="894"/>
      <c r="AD51" s="894"/>
      <c r="AE51" s="894"/>
      <c r="AF51" s="894"/>
      <c r="AG51" s="894"/>
      <c r="AH51" s="894"/>
      <c r="AI51" s="894"/>
      <c r="AJ51" s="894"/>
      <c r="AK51" s="894"/>
      <c r="AL51" s="894"/>
      <c r="AM51" s="894"/>
      <c r="AN51" s="894"/>
      <c r="AO51" s="894"/>
      <c r="AP51" s="894"/>
      <c r="AQ51" s="894"/>
      <c r="AR51" s="894"/>
      <c r="AS51" s="894"/>
      <c r="AT51" s="894"/>
    </row>
    <row r="52" spans="4:46" ht="13.5" customHeight="1">
      <c r="D52" s="1">
        <v>18</v>
      </c>
      <c r="AB52" s="1009" t="s">
        <v>1319</v>
      </c>
      <c r="AC52" s="1009"/>
      <c r="AD52" s="1009"/>
      <c r="AE52" s="1009"/>
      <c r="AF52" s="1009"/>
      <c r="AG52" s="1009"/>
      <c r="AH52" s="1009"/>
      <c r="AI52" s="1009"/>
      <c r="AJ52" s="1009"/>
      <c r="AK52" s="1009"/>
      <c r="AL52" s="1009"/>
      <c r="AM52" s="1009"/>
      <c r="AN52" s="1009"/>
      <c r="AO52" s="1009"/>
      <c r="AP52" s="1009"/>
      <c r="AQ52" s="1009"/>
      <c r="AR52" s="1009"/>
      <c r="AS52" s="1009"/>
      <c r="AT52" s="1009"/>
    </row>
    <row r="53" spans="4:46" ht="13.5" customHeight="1">
      <c r="D53" s="1">
        <v>18</v>
      </c>
      <c r="AB53" s="1009" t="s">
        <v>1320</v>
      </c>
      <c r="AC53" s="1009"/>
      <c r="AD53" s="1009"/>
      <c r="AE53" s="1009"/>
      <c r="AF53" s="1009"/>
      <c r="AG53" s="1009"/>
      <c r="AH53" s="1009"/>
      <c r="AI53" s="1009"/>
      <c r="AJ53" s="1009"/>
      <c r="AK53" s="1009"/>
      <c r="AL53" s="1009"/>
      <c r="AM53" s="1009"/>
      <c r="AN53" s="1009"/>
      <c r="AO53" s="1009"/>
      <c r="AP53" s="1009"/>
      <c r="AQ53" s="1009"/>
      <c r="AR53" s="1009"/>
      <c r="AS53" s="1009"/>
      <c r="AT53" s="1009"/>
    </row>
    <row r="54" spans="4:46" ht="18" customHeight="1">
      <c r="D54" s="1">
        <v>24</v>
      </c>
      <c r="AB54" s="1009" t="s">
        <v>1321</v>
      </c>
      <c r="AC54" s="1009"/>
      <c r="AD54" s="1009"/>
      <c r="AE54" s="1009"/>
      <c r="AF54" s="1009"/>
      <c r="AG54" s="1009"/>
      <c r="AH54" s="1009"/>
      <c r="AI54" s="1009"/>
      <c r="AJ54" s="1009"/>
      <c r="AK54" s="1009"/>
      <c r="AL54" s="1009"/>
      <c r="AM54" s="1009"/>
      <c r="AN54" s="1009"/>
      <c r="AO54" s="1009"/>
      <c r="AP54" s="1009"/>
      <c r="AQ54" s="1009"/>
      <c r="AR54" s="1009"/>
      <c r="AS54" s="1009"/>
      <c r="AT54" s="1009"/>
    </row>
    <row r="55" spans="4:46" ht="13.5" customHeight="1">
      <c r="D55" s="1">
        <v>18</v>
      </c>
      <c r="AB55" s="894" t="s">
        <v>1322</v>
      </c>
      <c r="AC55" s="894"/>
      <c r="AD55" s="894"/>
      <c r="AE55" s="894"/>
      <c r="AF55" s="894"/>
      <c r="AG55" s="894"/>
      <c r="AH55" s="894"/>
      <c r="AI55" s="894"/>
      <c r="AJ55" s="894"/>
      <c r="AK55" s="894"/>
      <c r="AL55" s="894"/>
      <c r="AM55" s="894"/>
      <c r="AN55" s="894"/>
      <c r="AO55" s="894"/>
      <c r="AP55" s="894"/>
      <c r="AQ55" s="894"/>
      <c r="AR55" s="894"/>
      <c r="AS55" s="894"/>
      <c r="AT55" s="894"/>
    </row>
    <row r="56" spans="4:46" ht="18" customHeight="1">
      <c r="D56" s="1">
        <v>24</v>
      </c>
      <c r="AB56" s="1009" t="s">
        <v>1323</v>
      </c>
      <c r="AC56" s="1009"/>
      <c r="AD56" s="1009"/>
      <c r="AE56" s="1009"/>
      <c r="AF56" s="1009"/>
      <c r="AG56" s="1009"/>
      <c r="AH56" s="1009"/>
      <c r="AI56" s="1009"/>
      <c r="AJ56" s="1009"/>
      <c r="AK56" s="1009"/>
      <c r="AL56" s="1009"/>
      <c r="AM56" s="1009"/>
      <c r="AN56" s="1009"/>
      <c r="AO56" s="1009"/>
      <c r="AP56" s="1009"/>
      <c r="AQ56" s="1009"/>
      <c r="AR56" s="1009"/>
      <c r="AS56" s="1009"/>
      <c r="AT56" s="1009"/>
    </row>
    <row r="57" spans="4:46" ht="13.5" customHeight="1">
      <c r="D57" s="1">
        <v>18</v>
      </c>
      <c r="AB57" s="894" t="s">
        <v>1324</v>
      </c>
      <c r="AC57" s="894"/>
      <c r="AD57" s="894"/>
      <c r="AE57" s="894"/>
      <c r="AF57" s="894"/>
      <c r="AG57" s="894"/>
      <c r="AH57" s="894"/>
      <c r="AI57" s="894"/>
      <c r="AJ57" s="894"/>
      <c r="AK57" s="894"/>
      <c r="AL57" s="894"/>
      <c r="AM57" s="894"/>
      <c r="AN57" s="894"/>
      <c r="AO57" s="894"/>
      <c r="AP57" s="894"/>
      <c r="AQ57" s="894"/>
      <c r="AR57" s="894"/>
      <c r="AS57" s="894"/>
      <c r="AT57" s="894"/>
    </row>
    <row r="58" spans="4:46" ht="18" customHeight="1">
      <c r="D58" s="1">
        <v>24</v>
      </c>
      <c r="AB58" s="894" t="s">
        <v>1325</v>
      </c>
      <c r="AC58" s="894"/>
      <c r="AD58" s="894"/>
      <c r="AE58" s="894"/>
      <c r="AF58" s="894"/>
      <c r="AG58" s="894"/>
      <c r="AH58" s="894"/>
      <c r="AI58" s="894"/>
      <c r="AJ58" s="894"/>
      <c r="AK58" s="894"/>
      <c r="AL58" s="894"/>
      <c r="AM58" s="894"/>
      <c r="AN58" s="894"/>
      <c r="AO58" s="894"/>
      <c r="AP58" s="894"/>
      <c r="AQ58" s="894"/>
      <c r="AR58" s="894"/>
      <c r="AS58" s="894"/>
      <c r="AT58" s="894"/>
    </row>
    <row r="59" spans="4:46" ht="13.5" customHeight="1">
      <c r="D59" s="1">
        <v>18</v>
      </c>
      <c r="AB59" s="894" t="str">
        <f>"13. Положение о "&amp;AG21</f>
        <v xml:space="preserve">13. Положение о </v>
      </c>
      <c r="AC59" s="894"/>
      <c r="AD59" s="894"/>
      <c r="AE59" s="894"/>
      <c r="AF59" s="894"/>
      <c r="AG59" s="1010"/>
      <c r="AH59" s="1010"/>
      <c r="AI59" s="1010"/>
      <c r="AJ59" s="1010"/>
      <c r="AK59" s="1010"/>
      <c r="AL59" s="1010"/>
      <c r="AM59" s="1010"/>
      <c r="AN59" s="1010"/>
      <c r="AO59" s="1010"/>
      <c r="AP59" s="1010"/>
      <c r="AQ59" s="1010"/>
    </row>
    <row r="60" spans="4:46" ht="33.75" customHeight="1">
      <c r="D60" s="1">
        <v>45</v>
      </c>
      <c r="AB60" s="894" t="str">
        <f>"14. Приказ ФАС России «О внесении изменений в сводный прогнозный баланс производства и поставок электрической энергии (мощности) в рамках Единой энергетической системы России по субъектам российской федерации на "&amp;PRD&amp;" год»"</f>
        <v>14. Приказ ФАС России «О внесении изменений в сводный прогнозный баланс производства и поставок электрической энергии (мощности) в рамках Единой энергетической системы России по субъектам российской федерации на 2026 год»</v>
      </c>
      <c r="AC60" s="894" t="str">
        <f>"Утвержденный тариф на потери электрической энергии с учетом сбытовой надбавки гарантирующего поставщика "</f>
        <v xml:space="preserve">Утвержденный тариф на потери электрической энергии с учетом сбытовой надбавки гарантирующего поставщика </v>
      </c>
      <c r="AD60" s="894"/>
      <c r="AE60" s="894"/>
      <c r="AF60" s="894"/>
      <c r="AG60" s="894"/>
      <c r="AH60" s="894"/>
      <c r="AI60" s="894"/>
      <c r="AJ60" s="894"/>
      <c r="AK60" s="894"/>
      <c r="AL60" s="894"/>
      <c r="AM60" s="894"/>
      <c r="AN60" s="894"/>
      <c r="AO60" s="894"/>
      <c r="AP60" s="894"/>
      <c r="AQ60" s="894"/>
      <c r="AR60" s="894"/>
      <c r="AS60" s="894"/>
      <c r="AT60" s="894"/>
    </row>
    <row r="61" spans="4:46" ht="13.5" customHeight="1">
      <c r="D61" s="1">
        <v>18</v>
      </c>
      <c r="AB61" s="290" t="s">
        <v>1326</v>
      </c>
      <c r="AC61" s="947"/>
      <c r="AD61" s="948"/>
      <c r="AE61" s="290" t="s">
        <v>1327</v>
      </c>
      <c r="AF61" s="947"/>
      <c r="AG61" s="948"/>
    </row>
    <row r="62" spans="4:46" ht="13.5" customHeight="1">
      <c r="D62" s="1">
        <v>18</v>
      </c>
      <c r="AB62" s="894" t="s">
        <v>1328</v>
      </c>
      <c r="AC62" s="894"/>
      <c r="AD62" s="894"/>
      <c r="AE62" s="894"/>
      <c r="AF62" s="894"/>
      <c r="AG62" s="894"/>
      <c r="AH62" s="894"/>
      <c r="AI62" s="894"/>
      <c r="AJ62" s="894"/>
      <c r="AK62" s="894"/>
      <c r="AL62" s="894"/>
      <c r="AM62" s="894"/>
      <c r="AN62" s="894"/>
      <c r="AO62" s="894"/>
      <c r="AP62" s="894"/>
      <c r="AQ62" s="894"/>
      <c r="AR62" s="894"/>
      <c r="AS62" s="894"/>
      <c r="AT62" s="894"/>
    </row>
    <row r="63" spans="4:46" ht="13.5" customHeight="1">
      <c r="D63" s="1">
        <v>18</v>
      </c>
      <c r="AB63" s="894" t="s">
        <v>1329</v>
      </c>
      <c r="AC63" s="894"/>
      <c r="AD63" s="894"/>
      <c r="AE63" s="894"/>
      <c r="AF63" s="894"/>
      <c r="AG63" s="894"/>
      <c r="AH63" s="894"/>
      <c r="AI63" s="894"/>
      <c r="AJ63" s="894"/>
      <c r="AK63" s="894"/>
      <c r="AL63" s="894"/>
      <c r="AM63" s="894"/>
      <c r="AN63" s="894"/>
      <c r="AO63" s="894"/>
      <c r="AP63" s="894"/>
      <c r="AQ63" s="894"/>
      <c r="AR63" s="894"/>
      <c r="AS63" s="894"/>
      <c r="AT63" s="894"/>
    </row>
    <row r="64" spans="4:46" ht="13.5" customHeight="1">
      <c r="D64" s="1">
        <v>18</v>
      </c>
      <c r="AB64" s="894" t="s">
        <v>1330</v>
      </c>
      <c r="AC64" s="894"/>
      <c r="AD64" s="894"/>
      <c r="AE64" s="894"/>
      <c r="AF64" s="894"/>
      <c r="AG64" s="894"/>
      <c r="AH64" s="894"/>
      <c r="AI64" s="894"/>
      <c r="AJ64" s="894"/>
      <c r="AK64" s="894"/>
      <c r="AL64" s="894"/>
      <c r="AM64" s="894"/>
      <c r="AN64" s="894"/>
      <c r="AO64" s="894"/>
      <c r="AP64" s="894"/>
      <c r="AQ64" s="894"/>
      <c r="AR64" s="894"/>
      <c r="AS64" s="894"/>
      <c r="AT64" s="894"/>
    </row>
    <row r="65" spans="4:46" ht="13.5" customHeight="1">
      <c r="D65" s="1">
        <v>18</v>
      </c>
      <c r="AB65" s="287"/>
      <c r="AC65" s="287"/>
      <c r="AD65" s="287"/>
      <c r="AE65" s="287"/>
      <c r="AF65" s="287"/>
      <c r="AG65" s="287"/>
      <c r="AH65" s="287"/>
      <c r="AI65" s="287"/>
      <c r="AJ65" s="287"/>
      <c r="AK65" s="287"/>
      <c r="AL65" s="287"/>
      <c r="AM65" s="287"/>
      <c r="AN65" s="287"/>
      <c r="AO65" s="287"/>
      <c r="AP65" s="287"/>
      <c r="AQ65" s="287"/>
      <c r="AR65" s="287"/>
      <c r="AS65" s="287"/>
      <c r="AT65" s="287"/>
    </row>
    <row r="66" spans="4:46" ht="13.5" customHeight="1">
      <c r="D66" s="1">
        <v>18</v>
      </c>
      <c r="AB66" s="894" t="s">
        <v>1331</v>
      </c>
      <c r="AC66" s="894"/>
      <c r="AD66" s="894"/>
      <c r="AE66" s="894"/>
      <c r="AF66" s="894"/>
      <c r="AG66" s="894"/>
      <c r="AH66" s="894"/>
      <c r="AI66" s="894"/>
      <c r="AJ66" s="894"/>
      <c r="AK66" s="894"/>
      <c r="AL66" s="894"/>
      <c r="AM66" s="894"/>
      <c r="AN66" s="894"/>
      <c r="AO66" s="894"/>
      <c r="AP66" s="894"/>
      <c r="AQ66" s="894"/>
      <c r="AR66" s="894"/>
      <c r="AS66" s="894"/>
      <c r="AT66" s="894"/>
    </row>
    <row r="67" spans="4:46" ht="27" customHeight="1">
      <c r="D67" s="1">
        <v>36</v>
      </c>
      <c r="AB67" s="894" t="str">
        <f>"21.02.2011 № 97, из сотрудников ____________________________ была сформирована экспертная группа по определению на "&amp;PRD&amp;" год необходимой валовой выручки на услуги по передаче электрической энергии (далее – эксперты)."</f>
        <v>21.02.2011 № 97, из сотрудников ____________________________ была сформирована экспертная группа по определению на 2026 год необходимой валовой выручки на услуги по передаче электрической энергии (далее – эксперты).</v>
      </c>
      <c r="AC67" s="894"/>
      <c r="AD67" s="894"/>
      <c r="AE67" s="894"/>
      <c r="AF67" s="894"/>
      <c r="AG67" s="894"/>
      <c r="AH67" s="894"/>
      <c r="AI67" s="894"/>
      <c r="AJ67" s="894"/>
      <c r="AK67" s="894"/>
      <c r="AL67" s="894"/>
      <c r="AM67" s="894"/>
      <c r="AN67" s="894"/>
      <c r="AO67" s="894"/>
      <c r="AP67" s="894"/>
      <c r="AQ67" s="894"/>
      <c r="AR67" s="894"/>
      <c r="AS67" s="894"/>
      <c r="AT67" s="894"/>
    </row>
    <row r="68" spans="4:46" ht="13.5" customHeight="1">
      <c r="D68" s="1">
        <v>18</v>
      </c>
    </row>
    <row r="69" spans="4:46" ht="11.25" hidden="1" customHeight="1">
      <c r="D69" s="1">
        <v>0</v>
      </c>
    </row>
    <row r="70" spans="4:46" ht="13.5" customHeight="1">
      <c r="D70" s="1">
        <v>18</v>
      </c>
      <c r="AB70" s="940" t="s">
        <v>1332</v>
      </c>
      <c r="AC70" s="781"/>
      <c r="AD70" s="781"/>
      <c r="AE70" s="781"/>
      <c r="AF70" s="781"/>
      <c r="AG70" s="781"/>
      <c r="AH70" s="781"/>
      <c r="AI70" s="781"/>
      <c r="AJ70" s="781"/>
      <c r="AK70" s="781"/>
      <c r="AL70" s="781"/>
      <c r="AM70" s="781"/>
      <c r="AN70" s="781"/>
      <c r="AO70" s="781"/>
      <c r="AP70" s="781"/>
      <c r="AQ70" s="781"/>
    </row>
    <row r="71" spans="4:46" ht="13.5" customHeight="1">
      <c r="D71" s="1">
        <v>18</v>
      </c>
    </row>
    <row r="72" spans="4:46" ht="31.5" customHeight="1">
      <c r="D72" s="1">
        <v>42</v>
      </c>
      <c r="AB72" s="894" t="str">
        <f>"1. Предметом экспертизы являются обосновывающие и расчетные материалы  "&amp;Титульный!AC27&amp;", определяющие тариф на передачу электрической энергии на  "&amp;Титульный!AC34&amp;" год, соответствия их действующей нормативноправовой базе по государственному регулированию тарифов"</f>
        <v>1. Предметом экспертизы являются обосновывающие и расчетные материалы  МУП "Горэлектросети", определяющие тариф на передачу электрической энергии на  2026 год, соответствия их действующей нормативноправовой базе по государственному регулированию тарифов</v>
      </c>
      <c r="AC72" s="894"/>
      <c r="AD72" s="894"/>
      <c r="AE72" s="894"/>
      <c r="AF72" s="894"/>
      <c r="AG72" s="894"/>
      <c r="AH72" s="894"/>
      <c r="AI72" s="894"/>
      <c r="AJ72" s="894"/>
      <c r="AK72" s="894"/>
      <c r="AL72" s="894"/>
      <c r="AM72" s="894"/>
      <c r="AN72" s="894"/>
      <c r="AO72" s="894"/>
      <c r="AP72" s="894"/>
      <c r="AQ72" s="894"/>
      <c r="AR72" s="894"/>
      <c r="AS72" s="894"/>
      <c r="AT72" s="894"/>
    </row>
    <row r="73" spans="4:46" ht="31.5" customHeight="1">
      <c r="D73" s="1">
        <v>42</v>
      </c>
      <c r="AB73" s="894" t="str">
        <f>"2. Целью настоящей экспертизы является определение экономически обоснованного тарифа на передачу электрической энергии по сетям  "&amp;Титульный!AC27&amp;", на территории "&amp;Титульный!AC23&amp;" на  "&amp;Титульный!AC34&amp;" год"</f>
        <v>2. Целью настоящей экспертизы является определение экономически обоснованного тарифа на передачу электрической энергии по сетям  МУП "Горэлектросети", на территории Республика Алтай на  2026 год</v>
      </c>
      <c r="AC73" s="894"/>
      <c r="AD73" s="894"/>
      <c r="AE73" s="894"/>
      <c r="AF73" s="894"/>
      <c r="AG73" s="894"/>
      <c r="AH73" s="894"/>
      <c r="AI73" s="894"/>
      <c r="AJ73" s="894"/>
      <c r="AK73" s="894"/>
      <c r="AL73" s="894"/>
      <c r="AM73" s="894"/>
      <c r="AN73" s="894"/>
      <c r="AO73" s="894"/>
      <c r="AP73" s="894"/>
      <c r="AQ73" s="894"/>
      <c r="AR73" s="894"/>
      <c r="AS73" s="894"/>
      <c r="AT73" s="894"/>
    </row>
    <row r="74" spans="4:46" ht="15" customHeight="1">
      <c r="D74" s="1">
        <v>20</v>
      </c>
      <c r="AB74" s="287"/>
      <c r="AC74" s="287"/>
      <c r="AD74" s="287"/>
      <c r="AE74" s="287"/>
      <c r="AF74" s="287"/>
      <c r="AG74" s="287"/>
      <c r="AH74" s="287"/>
      <c r="AI74" s="287"/>
      <c r="AJ74" s="287"/>
      <c r="AK74" s="287"/>
      <c r="AL74" s="287"/>
      <c r="AM74" s="287"/>
      <c r="AN74" s="287"/>
      <c r="AO74" s="287"/>
      <c r="AP74" s="287"/>
      <c r="AQ74" s="287"/>
      <c r="AR74" s="287"/>
      <c r="AS74" s="287"/>
      <c r="AT74" s="287"/>
    </row>
    <row r="75" spans="4:46" ht="67.5" customHeight="1">
      <c r="D75" s="1">
        <v>90</v>
      </c>
      <c r="AB75" s="894" t="s">
        <v>1333</v>
      </c>
      <c r="AC75" s="894"/>
      <c r="AD75" s="894"/>
      <c r="AE75" s="894"/>
      <c r="AF75" s="894"/>
      <c r="AG75" s="894"/>
      <c r="AH75" s="894"/>
      <c r="AI75" s="894"/>
      <c r="AJ75" s="894"/>
      <c r="AK75" s="894"/>
      <c r="AL75" s="894"/>
      <c r="AM75" s="894"/>
      <c r="AN75" s="894"/>
      <c r="AO75" s="894"/>
      <c r="AP75" s="894"/>
      <c r="AQ75" s="894"/>
      <c r="AR75" s="894"/>
      <c r="AS75" s="894"/>
      <c r="AT75" s="894"/>
    </row>
    <row r="76" spans="4:46" ht="13.5" customHeight="1">
      <c r="D76" s="1">
        <v>18</v>
      </c>
      <c r="AB76" s="940" t="s">
        <v>1334</v>
      </c>
      <c r="AC76" s="781"/>
      <c r="AD76" s="781"/>
      <c r="AE76" s="781"/>
      <c r="AF76" s="781"/>
      <c r="AG76" s="781"/>
      <c r="AH76" s="781"/>
      <c r="AI76" s="781"/>
      <c r="AJ76" s="781"/>
      <c r="AK76" s="781"/>
      <c r="AL76" s="781"/>
      <c r="AM76" s="781"/>
      <c r="AN76" s="781"/>
      <c r="AO76" s="781"/>
      <c r="AP76" s="781"/>
      <c r="AQ76" s="781"/>
    </row>
    <row r="77" spans="4:46" ht="13.5" customHeight="1">
      <c r="D77" s="1">
        <v>18</v>
      </c>
    </row>
    <row r="78" spans="4:46" ht="57" customHeight="1">
      <c r="D78" s="1">
        <v>76</v>
      </c>
      <c r="AB78" s="894" t="s">
        <v>1625</v>
      </c>
      <c r="AC78" s="894"/>
      <c r="AD78" s="894"/>
      <c r="AE78" s="894"/>
      <c r="AF78" s="894"/>
      <c r="AG78" s="894"/>
      <c r="AH78" s="894"/>
      <c r="AI78" s="894"/>
      <c r="AJ78" s="894"/>
      <c r="AK78" s="894"/>
      <c r="AL78" s="894"/>
      <c r="AM78" s="894"/>
      <c r="AN78" s="894"/>
      <c r="AO78" s="894"/>
      <c r="AP78" s="894"/>
      <c r="AQ78" s="894"/>
      <c r="AR78" s="894"/>
      <c r="AS78" s="894"/>
      <c r="AT78" s="894"/>
    </row>
    <row r="79" spans="4:46" ht="36" customHeight="1">
      <c r="D79" s="1">
        <v>48</v>
      </c>
      <c r="AB79" s="894" t="s">
        <v>1626</v>
      </c>
      <c r="AC79" s="894"/>
      <c r="AD79" s="894"/>
      <c r="AE79" s="894"/>
      <c r="AF79" s="894"/>
      <c r="AG79" s="894"/>
      <c r="AH79" s="894"/>
      <c r="AI79" s="894"/>
      <c r="AJ79" s="894"/>
      <c r="AK79" s="894"/>
      <c r="AL79" s="894"/>
      <c r="AM79" s="894"/>
      <c r="AN79" s="894"/>
      <c r="AO79" s="894"/>
      <c r="AP79" s="894"/>
      <c r="AQ79" s="894"/>
      <c r="AR79" s="894"/>
      <c r="AS79" s="894"/>
      <c r="AT79" s="894"/>
    </row>
    <row r="80" spans="4:46" ht="13.5" customHeight="1">
      <c r="D80" s="1">
        <v>18</v>
      </c>
      <c r="AB80" s="781"/>
      <c r="AC80" s="781"/>
      <c r="AD80" s="781"/>
      <c r="AE80" s="781"/>
      <c r="AF80" s="781"/>
      <c r="AG80" s="781"/>
      <c r="AH80" s="781"/>
      <c r="AI80" s="781"/>
      <c r="AJ80" s="781"/>
      <c r="AK80" s="781"/>
      <c r="AL80" s="781"/>
      <c r="AM80" s="781"/>
      <c r="AN80" s="781"/>
      <c r="AO80" s="781"/>
      <c r="AP80" s="781"/>
      <c r="AQ80" s="781"/>
      <c r="AR80" s="781"/>
      <c r="AS80" s="781"/>
      <c r="AT80" s="781"/>
    </row>
    <row r="81" spans="4:46" ht="13.5" customHeight="1">
      <c r="D81" s="1">
        <v>18</v>
      </c>
      <c r="AB81" s="940" t="s">
        <v>1337</v>
      </c>
      <c r="AC81" s="781"/>
      <c r="AD81" s="781"/>
      <c r="AE81" s="781"/>
      <c r="AF81" s="781"/>
      <c r="AG81" s="781"/>
      <c r="AH81" s="781"/>
      <c r="AI81" s="781"/>
      <c r="AJ81" s="781"/>
      <c r="AK81" s="781"/>
      <c r="AL81" s="781"/>
      <c r="AM81" s="781"/>
      <c r="AN81" s="781"/>
      <c r="AO81" s="781"/>
      <c r="AP81" s="781"/>
      <c r="AQ81" s="781"/>
    </row>
    <row r="82" spans="4:46" ht="31.5" customHeight="1">
      <c r="D82" s="1">
        <v>42</v>
      </c>
      <c r="AB82" s="894" t="s">
        <v>1338</v>
      </c>
      <c r="AC82" s="894"/>
      <c r="AD82" s="894"/>
      <c r="AE82" s="894"/>
      <c r="AF82" s="894"/>
      <c r="AG82" s="894"/>
      <c r="AH82" s="894"/>
      <c r="AI82" s="894"/>
      <c r="AJ82" s="894"/>
      <c r="AK82" s="894"/>
      <c r="AL82" s="894"/>
      <c r="AM82" s="894"/>
      <c r="AN82" s="894"/>
      <c r="AO82" s="894"/>
      <c r="AP82" s="894"/>
      <c r="AQ82" s="894"/>
      <c r="AR82" s="894"/>
      <c r="AS82" s="894"/>
      <c r="AT82" s="894"/>
    </row>
    <row r="83" spans="4:46" ht="13.5" customHeight="1">
      <c r="D83" s="1">
        <v>18</v>
      </c>
      <c r="AB83" s="894" t="str">
        <f>"Письменное заявление, представленное "&amp;Титульный!AC27&amp;" об определении необходимой валовой выручки соответствует требованиям Регламента."</f>
        <v>Письменное заявление, представленное МУП "Горэлектросети" об определении необходимой валовой выручки соответствует требованиям Регламента.</v>
      </c>
      <c r="AC83" s="894"/>
      <c r="AD83" s="894"/>
      <c r="AE83" s="894"/>
      <c r="AF83" s="894"/>
      <c r="AG83" s="894"/>
      <c r="AH83" s="894"/>
      <c r="AI83" s="894"/>
      <c r="AJ83" s="894"/>
      <c r="AK83" s="894"/>
      <c r="AL83" s="894"/>
      <c r="AM83" s="894"/>
      <c r="AN83" s="894"/>
      <c r="AO83" s="894"/>
      <c r="AP83" s="894"/>
      <c r="AQ83" s="894"/>
      <c r="AR83" s="894"/>
      <c r="AS83" s="894"/>
      <c r="AT83" s="894"/>
    </row>
    <row r="84" spans="4:46" ht="13.5" customHeight="1">
      <c r="D84" s="1">
        <v>18</v>
      </c>
      <c r="AB84" s="896" t="str">
        <f>"Предложение о размере цен (тарифов) "&amp;Титульный!AC27&amp;"размещены на официальном сайте организации в порядке, установленном стандартами"</f>
        <v>Предложение о размере цен (тарифов) МУП "Горэлектросети"размещены на официальном сайте организации в порядке, установленном стандартами</v>
      </c>
      <c r="AC84" s="896"/>
      <c r="AD84" s="896"/>
      <c r="AE84" s="896"/>
      <c r="AF84" s="896"/>
      <c r="AG84" s="896"/>
      <c r="AH84" s="896"/>
      <c r="AI84" s="896"/>
      <c r="AJ84" s="896"/>
      <c r="AK84" s="896"/>
      <c r="AL84" s="896"/>
      <c r="AM84" s="896"/>
      <c r="AN84" s="896"/>
      <c r="AO84" s="896"/>
      <c r="AP84" s="896"/>
      <c r="AQ84" s="896"/>
      <c r="AR84" s="896"/>
      <c r="AS84" s="896"/>
      <c r="AT84" s="896"/>
    </row>
    <row r="85" spans="4:46" ht="30" customHeight="1">
      <c r="D85" s="1">
        <v>40</v>
      </c>
      <c r="AB85" s="894" t="s">
        <v>1339</v>
      </c>
      <c r="AC85" s="894"/>
      <c r="AD85" s="894"/>
      <c r="AE85" s="894"/>
      <c r="AF85" s="894"/>
      <c r="AG85" s="894"/>
      <c r="AH85" s="894"/>
      <c r="AI85" s="894"/>
      <c r="AJ85" s="894"/>
      <c r="AK85" s="894"/>
      <c r="AL85" s="894"/>
      <c r="AM85" s="894"/>
      <c r="AN85" s="894"/>
      <c r="AO85" s="894"/>
      <c r="AP85" s="894"/>
      <c r="AQ85" s="894"/>
      <c r="AR85" s="894"/>
      <c r="AS85" s="894"/>
      <c r="AT85" s="894"/>
    </row>
    <row r="86" spans="4:46" ht="13.5" customHeight="1">
      <c r="D86" s="1">
        <v>18</v>
      </c>
      <c r="AB86" s="290" t="s">
        <v>1340</v>
      </c>
      <c r="AC86" s="1011" t="str">
        <f>Титульный!AC64</f>
        <v>http://www.g-ages.ru</v>
      </c>
      <c r="AD86" s="1012"/>
      <c r="AE86" s="290" t="s">
        <v>1304</v>
      </c>
      <c r="AF86" s="947"/>
      <c r="AG86" s="948"/>
    </row>
    <row r="87" spans="4:46" ht="13.5" customHeight="1">
      <c r="D87" s="1">
        <v>18</v>
      </c>
    </row>
    <row r="88" spans="4:46" ht="59.25" customHeight="1">
      <c r="D88" s="1">
        <v>79</v>
      </c>
      <c r="AB88" s="894" t="s">
        <v>1341</v>
      </c>
      <c r="AC88" s="894"/>
      <c r="AD88" s="894"/>
      <c r="AE88" s="894"/>
      <c r="AF88" s="894"/>
      <c r="AG88" s="894"/>
      <c r="AH88" s="894"/>
      <c r="AI88" s="894"/>
      <c r="AJ88" s="894"/>
      <c r="AK88" s="894"/>
      <c r="AL88" s="894"/>
      <c r="AM88" s="894"/>
      <c r="AN88" s="894"/>
      <c r="AO88" s="894"/>
      <c r="AP88" s="894"/>
      <c r="AQ88" s="894"/>
      <c r="AR88" s="894"/>
      <c r="AS88" s="894"/>
      <c r="AT88" s="894"/>
    </row>
    <row r="89" spans="4:46" ht="13.5" customHeight="1">
      <c r="D89" s="1">
        <v>18</v>
      </c>
      <c r="AB89" s="894" t="str">
        <f>"Ответственность за достоверность представленных документов несёт  "&amp;Титульный!AC27</f>
        <v>Ответственность за достоверность представленных документов несёт  МУП "Горэлектросети"</v>
      </c>
      <c r="AC89" s="894"/>
      <c r="AD89" s="894"/>
      <c r="AE89" s="894"/>
      <c r="AF89" s="894"/>
      <c r="AG89" s="894"/>
      <c r="AH89" s="894"/>
      <c r="AI89" s="894"/>
      <c r="AJ89" s="894"/>
      <c r="AK89" s="894"/>
      <c r="AL89" s="894"/>
      <c r="AM89" s="894"/>
      <c r="AN89" s="894"/>
      <c r="AO89" s="894"/>
      <c r="AP89" s="894"/>
      <c r="AQ89" s="894"/>
      <c r="AR89" s="894"/>
      <c r="AS89" s="894"/>
      <c r="AT89" s="894"/>
    </row>
    <row r="90" spans="4:46" ht="33" customHeight="1">
      <c r="D90" s="1">
        <v>44</v>
      </c>
      <c r="AB90" s="894" t="str">
        <f>"Проделанная в процессе экспертизы работа не означает проведения полной и всеобъемлющей проверки финансово-хозяйственной деятельности "&amp;Титульный!AC27&amp;" и правильности формирования финансовых результатов за анализируемый период с целью выявления всех возможных нарушений норм действующего законодательства."</f>
        <v>Проделанная в процессе экспертизы работа не означает проведения полной и всеобъемлющей проверки финансово-хозяйственной деятельности МУП "Горэлектросети" и правильности формирования финансовых результатов за анализируемый период с целью выявления всех возможных нарушений норм действующего законодательства.</v>
      </c>
      <c r="AC90" s="894"/>
      <c r="AD90" s="894"/>
      <c r="AE90" s="894"/>
      <c r="AF90" s="894"/>
      <c r="AG90" s="894"/>
      <c r="AH90" s="894"/>
      <c r="AI90" s="894"/>
      <c r="AJ90" s="894"/>
      <c r="AK90" s="894"/>
      <c r="AL90" s="894"/>
      <c r="AM90" s="894"/>
      <c r="AN90" s="894"/>
      <c r="AO90" s="894"/>
      <c r="AP90" s="894"/>
      <c r="AQ90" s="894"/>
      <c r="AR90" s="894"/>
      <c r="AS90" s="894"/>
      <c r="AT90" s="894"/>
    </row>
    <row r="91" spans="4:46" ht="13.5" customHeight="1">
      <c r="D91" s="1">
        <v>18</v>
      </c>
      <c r="AB91" s="894" t="s">
        <v>1342</v>
      </c>
      <c r="AC91" s="894"/>
      <c r="AD91" s="894"/>
      <c r="AE91" s="894"/>
      <c r="AF91" s="894"/>
      <c r="AG91" s="894"/>
      <c r="AH91" s="894"/>
      <c r="AI91" s="894"/>
      <c r="AJ91" s="894"/>
      <c r="AK91" s="894"/>
      <c r="AL91" s="894"/>
      <c r="AM91" s="894"/>
      <c r="AN91" s="894"/>
      <c r="AO91" s="894"/>
      <c r="AP91" s="894"/>
      <c r="AQ91" s="894"/>
      <c r="AR91" s="894"/>
      <c r="AS91" s="894"/>
      <c r="AT91" s="894"/>
    </row>
    <row r="92" spans="4:46" ht="13.5" customHeight="1">
      <c r="D92" s="1">
        <v>18</v>
      </c>
    </row>
    <row r="93" spans="4:46" ht="13.5" customHeight="1">
      <c r="D93" s="1">
        <v>18</v>
      </c>
      <c r="AB93" s="940" t="s">
        <v>1343</v>
      </c>
      <c r="AC93" s="781"/>
      <c r="AD93" s="781"/>
      <c r="AE93" s="781"/>
      <c r="AF93" s="781"/>
      <c r="AG93" s="781"/>
      <c r="AH93" s="781"/>
      <c r="AI93" s="781"/>
      <c r="AJ93" s="781"/>
      <c r="AK93" s="781"/>
      <c r="AL93" s="781"/>
      <c r="AM93" s="781"/>
      <c r="AN93" s="781"/>
      <c r="AO93" s="781"/>
      <c r="AP93" s="781"/>
      <c r="AQ93" s="781"/>
    </row>
    <row r="94" spans="4:46" ht="13.5" customHeight="1">
      <c r="D94" s="1">
        <v>18</v>
      </c>
      <c r="AB94" s="894" t="s">
        <v>1344</v>
      </c>
      <c r="AC94" s="894"/>
      <c r="AD94" s="894"/>
      <c r="AE94" s="894"/>
      <c r="AF94" s="894"/>
      <c r="AG94" s="894"/>
      <c r="AH94" s="894"/>
      <c r="AI94" s="894"/>
      <c r="AJ94" s="894"/>
      <c r="AK94" s="894"/>
      <c r="AL94" s="894"/>
      <c r="AM94" s="894"/>
      <c r="AN94" s="894"/>
      <c r="AO94" s="894"/>
      <c r="AP94" s="894"/>
      <c r="AQ94" s="894"/>
      <c r="AR94" s="894"/>
      <c r="AS94" s="894"/>
      <c r="AT94" s="894"/>
    </row>
    <row r="95" spans="4:46" ht="27.75" customHeight="1">
      <c r="D95" s="1">
        <v>37</v>
      </c>
      <c r="AB95" s="894" t="str">
        <f>"1. Расчёт необходимой валовой выручки на "&amp;Титульный!AC44&amp;" год в формате шаблона ЕИАС, выполненные "&amp;Титульный!AC27&amp;" в соответствии с приказом ФСТ России от 17.02.2012 № 98-э;"</f>
        <v>1. Расчёт необходимой валовой выручки на  год в формате шаблона ЕИАС, выполненные МУП "Горэлектросети" в соответствии с приказом ФСТ России от 17.02.2012 № 98-э;</v>
      </c>
      <c r="AC95" s="894"/>
      <c r="AD95" s="894"/>
      <c r="AE95" s="894"/>
      <c r="AF95" s="894"/>
      <c r="AG95" s="894"/>
      <c r="AH95" s="894"/>
      <c r="AI95" s="894"/>
      <c r="AJ95" s="894"/>
      <c r="AK95" s="894"/>
      <c r="AL95" s="894"/>
      <c r="AM95" s="894"/>
      <c r="AN95" s="894"/>
      <c r="AO95" s="894"/>
      <c r="AP95" s="894"/>
      <c r="AQ95" s="894"/>
      <c r="AR95" s="894"/>
      <c r="AS95" s="894"/>
      <c r="AT95" s="894"/>
    </row>
    <row r="96" spans="4:46" ht="13.5" customHeight="1">
      <c r="D96" s="1">
        <v>18</v>
      </c>
      <c r="AB96" s="894" t="str">
        <f>"2. Oбосновывающие материалы, подтверждающие фактически произведённые расходы за  "&amp;PRD-2&amp;" год (с приложением подтверждающих документов),"</f>
        <v>2. Oбосновывающие материалы, подтверждающие фактически произведённые расходы за  2024 год (с приложением подтверждающих документов),</v>
      </c>
      <c r="AC96" s="894"/>
      <c r="AD96" s="894"/>
      <c r="AE96" s="894"/>
      <c r="AF96" s="894"/>
      <c r="AG96" s="894"/>
      <c r="AH96" s="894"/>
      <c r="AI96" s="894"/>
      <c r="AJ96" s="894"/>
      <c r="AK96" s="894"/>
      <c r="AL96" s="894"/>
      <c r="AM96" s="894"/>
      <c r="AN96" s="894"/>
      <c r="AO96" s="894"/>
      <c r="AP96" s="894"/>
      <c r="AQ96" s="894"/>
      <c r="AR96" s="894"/>
      <c r="AS96" s="894"/>
      <c r="AT96" s="894"/>
    </row>
    <row r="97" spans="4:46" ht="13.5" customHeight="1">
      <c r="D97" s="1">
        <v>18</v>
      </c>
      <c r="AB97" s="894" t="s">
        <v>1627</v>
      </c>
      <c r="AC97" s="894"/>
      <c r="AD97" s="894"/>
      <c r="AE97" s="894"/>
      <c r="AF97" s="894"/>
      <c r="AG97" s="894"/>
      <c r="AH97" s="894"/>
      <c r="AI97" s="894"/>
      <c r="AJ97" s="894"/>
      <c r="AK97" s="894"/>
      <c r="AL97" s="894"/>
      <c r="AM97" s="894"/>
      <c r="AN97" s="894"/>
      <c r="AO97" s="894"/>
      <c r="AP97" s="894"/>
      <c r="AQ97" s="894"/>
      <c r="AR97" s="894"/>
      <c r="AS97" s="894"/>
      <c r="AT97" s="894"/>
    </row>
    <row r="98" spans="4:46" ht="13.5" customHeight="1">
      <c r="D98" s="1">
        <v>18</v>
      </c>
      <c r="AB98" s="894" t="str">
        <f>"4. Бухгалтерский баланс и статистическая отчетность по регулируемым видам деятельности за "&amp;Титульный!AC34-2&amp;" год (со всеми приложениями)"</f>
        <v>4. Бухгалтерский баланс и статистическая отчетность по регулируемым видам деятельности за 2024 год (со всеми приложениями)</v>
      </c>
      <c r="AC98" s="894"/>
      <c r="AD98" s="894"/>
      <c r="AE98" s="894"/>
      <c r="AF98" s="894"/>
      <c r="AG98" s="894"/>
      <c r="AH98" s="894"/>
      <c r="AI98" s="894"/>
      <c r="AJ98" s="894"/>
      <c r="AK98" s="894"/>
      <c r="AL98" s="894"/>
      <c r="AM98" s="894"/>
      <c r="AN98" s="894"/>
      <c r="AO98" s="894"/>
      <c r="AP98" s="894"/>
      <c r="AQ98" s="894"/>
      <c r="AR98" s="894"/>
      <c r="AS98" s="894"/>
      <c r="AT98" s="894"/>
    </row>
    <row r="99" spans="4:46" ht="13.5" customHeight="1">
      <c r="D99" s="1">
        <v>18</v>
      </c>
      <c r="AB99" s="287" t="s">
        <v>1628</v>
      </c>
      <c r="AC99" s="287"/>
      <c r="AD99" s="287"/>
      <c r="AE99" s="287"/>
      <c r="AF99" s="287"/>
      <c r="AG99" s="287"/>
      <c r="AH99" s="287"/>
      <c r="AI99" s="287"/>
      <c r="AJ99" s="287"/>
      <c r="AK99" s="287"/>
      <c r="AL99" s="287"/>
      <c r="AM99" s="287"/>
      <c r="AN99" s="287"/>
      <c r="AO99" s="287"/>
      <c r="AP99" s="287"/>
      <c r="AQ99" s="287"/>
      <c r="AR99" s="287"/>
      <c r="AS99" s="287"/>
      <c r="AT99" s="287"/>
    </row>
    <row r="100" spans="4:46" ht="13.5" customHeight="1">
      <c r="D100" s="1">
        <v>18</v>
      </c>
      <c r="AB100" s="894" t="s">
        <v>1347</v>
      </c>
      <c r="AC100" s="894"/>
      <c r="AD100" s="894"/>
      <c r="AE100" s="894"/>
      <c r="AF100" s="894"/>
      <c r="AG100" s="894"/>
      <c r="AH100" s="894"/>
      <c r="AI100" s="894"/>
      <c r="AJ100" s="894"/>
      <c r="AK100" s="894"/>
      <c r="AL100" s="894"/>
      <c r="AM100" s="894"/>
      <c r="AN100" s="894"/>
      <c r="AO100" s="894"/>
      <c r="AP100" s="894"/>
      <c r="AQ100" s="894"/>
      <c r="AR100" s="894"/>
      <c r="AS100" s="894"/>
      <c r="AT100" s="894"/>
    </row>
    <row r="101" spans="4:46" ht="13.5" customHeight="1">
      <c r="D101" s="1">
        <v>18</v>
      </c>
      <c r="AB101" s="894" t="s">
        <v>1348</v>
      </c>
      <c r="AC101" s="894"/>
      <c r="AD101" s="894"/>
      <c r="AE101" s="894"/>
      <c r="AF101" s="894"/>
      <c r="AG101" s="894"/>
      <c r="AH101" s="894"/>
      <c r="AI101" s="894"/>
      <c r="AJ101" s="894"/>
      <c r="AK101" s="894"/>
      <c r="AL101" s="894"/>
      <c r="AM101" s="894"/>
      <c r="AN101" s="894"/>
      <c r="AO101" s="894"/>
      <c r="AP101" s="894"/>
      <c r="AQ101" s="894"/>
      <c r="AR101" s="894"/>
      <c r="AS101" s="894"/>
      <c r="AT101" s="894"/>
    </row>
    <row r="102" spans="4:46" ht="57" customHeight="1">
      <c r="D102" s="1">
        <v>76</v>
      </c>
      <c r="AB102" s="894" t="s">
        <v>1349</v>
      </c>
      <c r="AC102" s="894"/>
      <c r="AD102" s="894"/>
      <c r="AE102" s="894"/>
      <c r="AF102" s="894"/>
      <c r="AG102" s="894"/>
      <c r="AH102" s="894"/>
      <c r="AI102" s="894"/>
      <c r="AJ102" s="894"/>
      <c r="AK102" s="894"/>
      <c r="AL102" s="894"/>
      <c r="AM102" s="894"/>
      <c r="AN102" s="894"/>
      <c r="AO102" s="894"/>
      <c r="AP102" s="894"/>
      <c r="AQ102" s="894"/>
      <c r="AR102" s="894"/>
      <c r="AS102" s="894"/>
      <c r="AT102" s="894"/>
    </row>
    <row r="103" spans="4:46" ht="13.5" customHeight="1">
      <c r="D103" s="1">
        <v>18</v>
      </c>
      <c r="AB103" s="894" t="s">
        <v>1350</v>
      </c>
      <c r="AC103" s="894"/>
      <c r="AD103" s="894"/>
      <c r="AE103" s="894"/>
      <c r="AF103" s="894"/>
      <c r="AG103" s="894"/>
      <c r="AH103" s="894"/>
      <c r="AI103" s="894"/>
      <c r="AJ103" s="894"/>
      <c r="AK103" s="894"/>
      <c r="AL103" s="894"/>
      <c r="AM103" s="894"/>
      <c r="AN103" s="894"/>
      <c r="AO103" s="894"/>
      <c r="AP103" s="894"/>
      <c r="AQ103" s="894"/>
      <c r="AR103" s="894"/>
      <c r="AS103" s="894"/>
      <c r="AT103" s="894"/>
    </row>
    <row r="104" spans="4:46" ht="27.75" customHeight="1">
      <c r="D104" s="1">
        <v>37</v>
      </c>
      <c r="AB104" s="894" t="str">
        <f>"10. Баланс электроэнергии и мощности по форме № П1.4. и П1.5. Методических указаний, выполненный в соответствии с разъяснениями ФСТ России от 18.02.2005 № СН-570/14, согласованный с "&amp;Титульный!AC53</f>
        <v>10. Баланс электроэнергии и мощности по форме № П1.4. и П1.5. Методических указаний, выполненный в соответствии с разъяснениями ФСТ России от 18.02.2005 № СН-570/14, согласованный с Филиал ПАО "Россети Сибирь"</v>
      </c>
      <c r="AC104" s="894"/>
      <c r="AD104" s="894"/>
      <c r="AE104" s="894"/>
      <c r="AF104" s="894"/>
      <c r="AG104" s="894"/>
      <c r="AH104" s="894"/>
      <c r="AI104" s="894"/>
      <c r="AJ104" s="894"/>
      <c r="AK104" s="894"/>
      <c r="AL104" s="894"/>
      <c r="AM104" s="894"/>
      <c r="AN104" s="894"/>
      <c r="AO104" s="894"/>
      <c r="AP104" s="894"/>
      <c r="AQ104" s="894"/>
      <c r="AR104" s="894"/>
      <c r="AS104" s="894"/>
      <c r="AT104" s="894"/>
    </row>
    <row r="105" spans="4:46" ht="13.5" customHeight="1">
      <c r="D105" s="1">
        <v>18</v>
      </c>
      <c r="AB105" s="894" t="s">
        <v>1629</v>
      </c>
      <c r="AC105" s="894"/>
      <c r="AD105" s="894"/>
      <c r="AE105" s="894"/>
      <c r="AF105" s="894"/>
      <c r="AG105" s="894"/>
      <c r="AH105" s="894"/>
      <c r="AI105" s="894"/>
      <c r="AJ105" s="894"/>
      <c r="AK105" s="894"/>
      <c r="AL105" s="894"/>
      <c r="AM105" s="894"/>
      <c r="AN105" s="894"/>
      <c r="AO105" s="894"/>
      <c r="AP105" s="894"/>
      <c r="AQ105" s="894"/>
      <c r="AR105" s="894"/>
      <c r="AS105" s="894"/>
      <c r="AT105" s="894"/>
    </row>
    <row r="106" spans="4:46" ht="13.5" customHeight="1">
      <c r="D106" s="1">
        <v>18</v>
      </c>
      <c r="AB106" s="781"/>
      <c r="AC106" s="781"/>
      <c r="AD106" s="781"/>
      <c r="AE106" s="781"/>
      <c r="AF106" s="781"/>
      <c r="AG106" s="781"/>
      <c r="AH106" s="781"/>
      <c r="AI106" s="781"/>
      <c r="AJ106" s="781"/>
      <c r="AK106" s="781"/>
      <c r="AL106" s="781"/>
      <c r="AM106" s="781"/>
      <c r="AN106" s="781"/>
      <c r="AO106" s="781"/>
      <c r="AP106" s="781"/>
      <c r="AQ106" s="781"/>
      <c r="AR106" s="781"/>
      <c r="AS106" s="781"/>
      <c r="AT106" s="781"/>
    </row>
    <row r="107" spans="4:46" ht="49.5" customHeight="1">
      <c r="D107" s="1">
        <v>66</v>
      </c>
      <c r="AB107" s="896"/>
      <c r="AC107" s="896"/>
      <c r="AD107" s="896"/>
      <c r="AE107" s="896"/>
      <c r="AF107" s="896"/>
      <c r="AG107" s="896"/>
      <c r="AH107" s="896"/>
      <c r="AI107" s="896"/>
      <c r="AJ107" s="896"/>
      <c r="AK107" s="896"/>
      <c r="AL107" s="896"/>
      <c r="AM107" s="896"/>
      <c r="AN107" s="896"/>
      <c r="AO107" s="896"/>
      <c r="AP107" s="896"/>
      <c r="AQ107" s="896"/>
      <c r="AR107" s="896"/>
      <c r="AS107" s="896"/>
    </row>
    <row r="108" spans="4:46" ht="13.5" customHeight="1">
      <c r="D108">
        <v>18</v>
      </c>
      <c r="AB108" s="781"/>
      <c r="AC108" s="781"/>
      <c r="AD108" s="781"/>
      <c r="AE108" s="781"/>
      <c r="AF108" s="781"/>
      <c r="AG108" s="781"/>
      <c r="AH108" s="781"/>
      <c r="AI108" s="781"/>
      <c r="AJ108" s="781"/>
      <c r="AK108" s="781"/>
      <c r="AL108" s="781"/>
      <c r="AM108" s="781"/>
      <c r="AN108" s="781"/>
      <c r="AO108" s="781"/>
      <c r="AP108" s="781"/>
      <c r="AQ108" s="781"/>
      <c r="AR108" s="781"/>
      <c r="AS108" s="781"/>
      <c r="AT108" s="781"/>
    </row>
    <row r="109" spans="4:46" ht="11.25" hidden="1" customHeight="1">
      <c r="D109" s="1">
        <v>0</v>
      </c>
      <c r="AB109" s="781"/>
      <c r="AC109" s="781"/>
      <c r="AD109" s="781"/>
      <c r="AE109" s="781"/>
      <c r="AF109" s="781"/>
      <c r="AG109" s="781"/>
      <c r="AH109" s="781"/>
      <c r="AI109" s="781"/>
      <c r="AJ109" s="781"/>
      <c r="AK109" s="781"/>
      <c r="AL109" s="781"/>
      <c r="AM109" s="781"/>
      <c r="AN109" s="781"/>
      <c r="AO109" s="781"/>
      <c r="AP109" s="781"/>
      <c r="AQ109" s="781"/>
      <c r="AR109" s="781"/>
      <c r="AS109" s="781"/>
      <c r="AT109" s="781"/>
    </row>
    <row r="110" spans="4:46" ht="11.25" hidden="1" customHeight="1">
      <c r="D110" s="1">
        <v>0</v>
      </c>
      <c r="AB110" s="781"/>
      <c r="AC110" s="781"/>
      <c r="AD110" s="781"/>
      <c r="AE110" s="781"/>
      <c r="AF110" s="781"/>
      <c r="AG110" s="781"/>
      <c r="AH110" s="781"/>
      <c r="AI110" s="781"/>
      <c r="AJ110" s="781"/>
      <c r="AK110" s="781"/>
      <c r="AL110" s="781"/>
      <c r="AM110" s="781"/>
      <c r="AN110" s="781"/>
      <c r="AO110" s="781"/>
      <c r="AP110" s="781"/>
      <c r="AQ110" s="781"/>
      <c r="AR110" s="781"/>
      <c r="AS110" s="781"/>
      <c r="AT110" s="781"/>
    </row>
    <row r="111" spans="4:46" ht="11.25" hidden="1" customHeight="1">
      <c r="D111" s="1">
        <v>0</v>
      </c>
      <c r="AB111" s="781"/>
      <c r="AC111" s="781"/>
      <c r="AD111" s="781"/>
      <c r="AE111" s="781"/>
      <c r="AF111" s="781"/>
      <c r="AG111" s="781"/>
      <c r="AH111" s="781"/>
      <c r="AI111" s="781"/>
      <c r="AJ111" s="781"/>
      <c r="AK111" s="781"/>
      <c r="AL111" s="781"/>
      <c r="AM111" s="781"/>
      <c r="AN111" s="781"/>
      <c r="AO111" s="781"/>
      <c r="AP111" s="781"/>
      <c r="AQ111" s="781"/>
      <c r="AR111" s="781"/>
      <c r="AS111" s="781"/>
      <c r="AT111" s="781"/>
    </row>
    <row r="112" spans="4:46" ht="13.5" customHeight="1">
      <c r="D112">
        <v>18</v>
      </c>
    </row>
    <row r="113" spans="4:43" ht="13.5" customHeight="1">
      <c r="D113" s="1">
        <v>18</v>
      </c>
      <c r="AB113" s="940" t="s">
        <v>1352</v>
      </c>
      <c r="AC113" s="781"/>
      <c r="AD113" s="781"/>
      <c r="AE113" s="781"/>
      <c r="AF113" s="781"/>
      <c r="AG113" s="781"/>
      <c r="AH113" s="781"/>
      <c r="AI113" s="781"/>
      <c r="AJ113" s="781"/>
      <c r="AK113" s="781"/>
      <c r="AL113" s="781"/>
      <c r="AM113" s="781"/>
      <c r="AN113" s="781"/>
      <c r="AO113" s="781"/>
      <c r="AP113" s="781"/>
      <c r="AQ113" s="781"/>
    </row>
    <row r="114" spans="4:43" ht="13.5" customHeight="1">
      <c r="D114" s="1">
        <v>18</v>
      </c>
    </row>
    <row r="115" spans="4:43" ht="13.5" customHeight="1">
      <c r="D115" s="1">
        <v>18</v>
      </c>
      <c r="AB115" s="940" t="s">
        <v>1353</v>
      </c>
      <c r="AC115" s="781"/>
      <c r="AD115" s="781"/>
      <c r="AE115" s="781"/>
      <c r="AF115" s="781"/>
      <c r="AG115" s="781"/>
      <c r="AH115" s="781"/>
      <c r="AI115" s="781"/>
      <c r="AJ115" s="781"/>
      <c r="AK115" s="781"/>
      <c r="AL115" s="781"/>
      <c r="AM115" s="781"/>
      <c r="AN115" s="781"/>
      <c r="AO115" s="781"/>
      <c r="AP115" s="781"/>
      <c r="AQ115" s="781"/>
    </row>
    <row r="116" spans="4:43" ht="13.5" customHeight="1">
      <c r="D116" s="1">
        <v>18</v>
      </c>
      <c r="AB116" s="936" t="s">
        <v>1297</v>
      </c>
      <c r="AC116" s="781"/>
      <c r="AD116" s="781"/>
      <c r="AE116" s="781"/>
      <c r="AF116" s="781"/>
      <c r="AG116" s="896" t="str">
        <f>'Форма раскрытия информации'!AD31</f>
        <v>МУП "Горэлектросети"</v>
      </c>
      <c r="AH116" s="896"/>
      <c r="AI116" s="896"/>
      <c r="AJ116" s="896"/>
      <c r="AK116" s="896"/>
      <c r="AL116" s="896"/>
      <c r="AM116" s="896"/>
      <c r="AN116" s="896"/>
      <c r="AO116" s="896"/>
      <c r="AP116" s="896"/>
      <c r="AQ116" s="896"/>
    </row>
    <row r="117" spans="4:43" ht="13.5" customHeight="1">
      <c r="D117" s="1">
        <v>18</v>
      </c>
      <c r="AB117" s="936" t="s">
        <v>1298</v>
      </c>
      <c r="AC117" s="781"/>
      <c r="AD117" s="781"/>
      <c r="AE117" s="781"/>
      <c r="AF117" s="781"/>
      <c r="AG117" s="894" t="str">
        <f>Титульный!AC31&amp;" / "&amp;Титульный!AC32</f>
        <v>0400000157 / 041101001</v>
      </c>
      <c r="AH117" s="894"/>
      <c r="AI117" s="894"/>
      <c r="AJ117" s="894"/>
      <c r="AK117" s="894"/>
      <c r="AL117" s="894"/>
      <c r="AM117" s="894"/>
      <c r="AN117" s="894"/>
      <c r="AO117" s="894"/>
      <c r="AP117" s="894"/>
      <c r="AQ117" s="894"/>
    </row>
    <row r="118" spans="4:43" ht="13.5" customHeight="1">
      <c r="D118" s="1">
        <v>18</v>
      </c>
      <c r="AB118" s="936" t="s">
        <v>1354</v>
      </c>
      <c r="AC118" s="781"/>
      <c r="AD118" s="781"/>
      <c r="AE118" s="781"/>
      <c r="AF118" s="781"/>
      <c r="AG118" s="894"/>
      <c r="AH118" s="896"/>
      <c r="AI118" s="896"/>
      <c r="AJ118" s="896"/>
      <c r="AK118" s="896"/>
      <c r="AL118" s="896"/>
      <c r="AM118" s="896"/>
      <c r="AN118" s="896"/>
      <c r="AO118" s="896"/>
      <c r="AP118" s="896"/>
      <c r="AQ118" s="896"/>
    </row>
    <row r="119" spans="4:43" ht="13.5" customHeight="1">
      <c r="D119" s="1">
        <v>18</v>
      </c>
      <c r="AB119" s="936" t="s">
        <v>1355</v>
      </c>
      <c r="AC119" s="781"/>
      <c r="AD119" s="781"/>
      <c r="AE119" s="781"/>
      <c r="AF119" s="781"/>
      <c r="AG119" s="894"/>
      <c r="AH119" s="896"/>
      <c r="AI119" s="896"/>
      <c r="AJ119" s="896"/>
      <c r="AK119" s="896"/>
      <c r="AL119" s="896"/>
      <c r="AM119" s="896"/>
      <c r="AN119" s="896"/>
      <c r="AO119" s="896"/>
      <c r="AP119" s="896"/>
      <c r="AQ119" s="896"/>
    </row>
    <row r="120" spans="4:43" ht="13.5" customHeight="1">
      <c r="D120" s="1">
        <v>18</v>
      </c>
      <c r="AB120" s="936" t="s">
        <v>385</v>
      </c>
      <c r="AC120" s="781"/>
      <c r="AD120" s="781"/>
      <c r="AE120" s="781"/>
      <c r="AF120" s="781"/>
      <c r="AG120" s="896" t="str">
        <f>'Форма раскрытия информации'!AD34</f>
        <v>649002, г. Горно-Алтайск ул. Связистов 1</v>
      </c>
      <c r="AH120" s="896"/>
      <c r="AI120" s="896"/>
      <c r="AJ120" s="896"/>
      <c r="AK120" s="896"/>
      <c r="AL120" s="896"/>
      <c r="AM120" s="896"/>
      <c r="AN120" s="896"/>
      <c r="AO120" s="896"/>
      <c r="AP120" s="896"/>
      <c r="AQ120" s="896"/>
    </row>
    <row r="121" spans="4:43" ht="13.5" customHeight="1">
      <c r="D121" s="1">
        <v>18</v>
      </c>
      <c r="AB121" s="291" t="s">
        <v>1356</v>
      </c>
      <c r="AG121" s="896" t="str">
        <f>IF(Титульный!AC50="Передача ЭЭ","оказание услуг по передаче электрической энергии",Титульный!AC50)</f>
        <v>оказание услуг по передаче электрической энергии</v>
      </c>
      <c r="AH121" s="896"/>
      <c r="AI121" s="896"/>
      <c r="AJ121" s="896"/>
      <c r="AK121" s="896"/>
      <c r="AL121" s="896"/>
      <c r="AM121" s="896"/>
      <c r="AN121" s="896"/>
      <c r="AO121" s="896"/>
      <c r="AP121" s="896"/>
      <c r="AQ121" s="896"/>
    </row>
    <row r="122" spans="4:43" ht="13.5" customHeight="1">
      <c r="D122" s="1">
        <v>18</v>
      </c>
      <c r="AB122" s="291" t="s">
        <v>1357</v>
      </c>
      <c r="AG122" s="896"/>
      <c r="AH122" s="896"/>
      <c r="AI122" s="896"/>
      <c r="AJ122" s="896"/>
      <c r="AK122" s="896"/>
      <c r="AL122" s="896"/>
      <c r="AM122" s="896"/>
      <c r="AN122" s="896"/>
      <c r="AO122" s="896"/>
      <c r="AP122" s="896"/>
      <c r="AQ122" s="896"/>
    </row>
    <row r="123" spans="4:43" ht="13.5" customHeight="1">
      <c r="D123" s="1">
        <v>18</v>
      </c>
      <c r="AB123" s="291" t="s">
        <v>1358</v>
      </c>
      <c r="AG123" s="896"/>
      <c r="AH123" s="896"/>
      <c r="AI123" s="896"/>
      <c r="AJ123" s="896"/>
      <c r="AK123" s="896"/>
      <c r="AL123" s="896"/>
      <c r="AM123" s="896"/>
      <c r="AN123" s="896"/>
      <c r="AO123" s="896"/>
      <c r="AP123" s="896"/>
      <c r="AQ123" s="896"/>
    </row>
    <row r="124" spans="4:43" ht="13.5" customHeight="1">
      <c r="D124" s="1">
        <v>18</v>
      </c>
      <c r="AB124" s="291" t="s">
        <v>1359</v>
      </c>
      <c r="AG124" s="896"/>
      <c r="AH124" s="896"/>
      <c r="AI124" s="896"/>
      <c r="AJ124" s="896"/>
      <c r="AK124" s="896"/>
      <c r="AL124" s="896"/>
      <c r="AM124" s="896"/>
      <c r="AN124" s="896"/>
      <c r="AO124" s="896"/>
      <c r="AP124" s="896"/>
      <c r="AQ124" s="896"/>
    </row>
    <row r="125" spans="4:43" ht="13.5" customHeight="1">
      <c r="D125" s="1">
        <v>18</v>
      </c>
    </row>
    <row r="126" spans="4:43" ht="13.5" customHeight="1">
      <c r="D126" s="1">
        <v>18</v>
      </c>
      <c r="AB126" s="892" t="str">
        <f>"На территории "&amp;REGION_NAME&amp;" реализована схема"</f>
        <v>На территории Республика Алтай реализована схема</v>
      </c>
      <c r="AC126" s="781"/>
      <c r="AD126" s="781"/>
      <c r="AE126" s="781"/>
      <c r="AF126" s="781"/>
      <c r="AG126" s="896"/>
      <c r="AH126" s="896"/>
      <c r="AI126" s="896"/>
      <c r="AJ126" s="896"/>
      <c r="AK126" s="896"/>
      <c r="AL126" s="896"/>
      <c r="AM126" s="896"/>
      <c r="AN126" s="896"/>
      <c r="AO126" s="896"/>
      <c r="AP126" s="896"/>
      <c r="AQ126" s="896"/>
    </row>
    <row r="127" spans="4:43" ht="13.5" customHeight="1">
      <c r="D127" s="1">
        <v>18</v>
      </c>
    </row>
    <row r="128" spans="4:43" ht="13.5" customHeight="1">
      <c r="D128" s="1">
        <v>18</v>
      </c>
      <c r="AB128" s="892" t="str">
        <f>'Форма раскрытия информации'!AD31</f>
        <v>МУП "Горэлектросети"</v>
      </c>
      <c r="AC128" s="781"/>
      <c r="AD128" s="781"/>
      <c r="AE128" s="781"/>
      <c r="AF128" s="781"/>
      <c r="AG128" s="896"/>
      <c r="AH128" s="896"/>
      <c r="AI128" s="896"/>
      <c r="AJ128" s="896"/>
      <c r="AK128" s="896"/>
      <c r="AL128" s="896"/>
      <c r="AM128" s="896"/>
      <c r="AN128" s="896"/>
      <c r="AO128" s="896"/>
      <c r="AP128" s="896"/>
      <c r="AQ128" s="896"/>
    </row>
    <row r="129" spans="4:46" ht="13.5" customHeight="1">
      <c r="D129" s="1">
        <v>18</v>
      </c>
    </row>
    <row r="130" spans="4:46" ht="27.75" customHeight="1">
      <c r="D130" s="1">
        <v>37</v>
      </c>
      <c r="AB130" s="894" t="s">
        <v>1360</v>
      </c>
      <c r="AC130" s="894"/>
      <c r="AD130" s="894"/>
      <c r="AE130" s="894"/>
      <c r="AF130" s="894"/>
      <c r="AG130" s="894"/>
      <c r="AH130" s="894"/>
      <c r="AI130" s="894"/>
      <c r="AJ130" s="894"/>
      <c r="AK130" s="894"/>
      <c r="AL130" s="894"/>
      <c r="AM130" s="894"/>
      <c r="AN130" s="894"/>
      <c r="AO130" s="894"/>
      <c r="AP130" s="894"/>
      <c r="AQ130" s="894"/>
      <c r="AR130" s="894"/>
      <c r="AS130" s="894"/>
      <c r="AT130" s="894"/>
    </row>
    <row r="131" spans="4:46" ht="13.5" customHeight="1">
      <c r="D131" s="1">
        <v>18</v>
      </c>
      <c r="AB131" s="892" t="str">
        <f>Титульный!AC27&amp;" является плательщиком налога:"</f>
        <v>МУП "Горэлектросети" является плательщиком налога:</v>
      </c>
      <c r="AC131" s="781"/>
      <c r="AD131" s="781"/>
      <c r="AE131" s="781"/>
      <c r="AF131" s="781"/>
      <c r="AH131" s="289"/>
      <c r="AI131" s="289"/>
      <c r="AJ131" s="289"/>
      <c r="AK131" s="289"/>
      <c r="AL131" s="289"/>
      <c r="AM131" s="289"/>
      <c r="AN131" s="289"/>
      <c r="AO131" s="289"/>
      <c r="AP131" s="289"/>
      <c r="AQ131" s="289"/>
    </row>
    <row r="132" spans="4:46" ht="29.25" customHeight="1">
      <c r="D132" s="1">
        <v>39</v>
      </c>
      <c r="AB132" s="892" t="s">
        <v>1361</v>
      </c>
      <c r="AC132" s="781"/>
      <c r="AD132" s="781"/>
      <c r="AE132" s="781"/>
      <c r="AF132" s="781"/>
      <c r="AG132" s="953"/>
      <c r="AH132" s="953"/>
      <c r="AI132" s="953"/>
      <c r="AJ132" s="953"/>
      <c r="AK132" s="953"/>
      <c r="AL132" s="953"/>
      <c r="AM132" s="953"/>
      <c r="AN132" s="953"/>
      <c r="AO132" s="953"/>
      <c r="AP132" s="953"/>
      <c r="AQ132" s="953"/>
    </row>
    <row r="133" spans="4:46" ht="13.5" customHeight="1">
      <c r="D133" s="1">
        <v>18</v>
      </c>
    </row>
    <row r="134" spans="4:46" ht="13.5" customHeight="1">
      <c r="D134" s="1">
        <v>18</v>
      </c>
      <c r="AB134" s="892" t="str">
        <f>"Для описания структуры баланса "&amp;Титульный!AC27&amp;" выполнен анализ структуры имущества и источников его формирования по итогам деятельности компании за "&amp;PRD-2&amp;" год."</f>
        <v>Для описания структуры баланса МУП "Горэлектросети" выполнен анализ структуры имущества и источников его формирования по итогам деятельности компании за 2024 год.</v>
      </c>
      <c r="AC134" s="781"/>
      <c r="AD134" s="781"/>
      <c r="AE134" s="781"/>
      <c r="AF134" s="781"/>
    </row>
    <row r="135" spans="4:46" ht="13.5" customHeight="1">
      <c r="D135" s="1">
        <v>18</v>
      </c>
    </row>
    <row r="136" spans="4:46" ht="27.75" customHeight="1">
      <c r="D136" s="1">
        <v>37</v>
      </c>
      <c r="AB136" s="331" t="s">
        <v>509</v>
      </c>
      <c r="AC136" s="954" t="s">
        <v>526</v>
      </c>
      <c r="AD136" s="954"/>
      <c r="AE136" s="954"/>
      <c r="AF136" s="954"/>
      <c r="AG136" s="954"/>
      <c r="AH136" s="329" t="s">
        <v>609</v>
      </c>
      <c r="AI136" s="312">
        <f>PRD-4</f>
        <v>2022</v>
      </c>
      <c r="AJ136" s="312">
        <f>PRD-3</f>
        <v>2023</v>
      </c>
      <c r="AK136" s="312">
        <f>PRD-2</f>
        <v>2024</v>
      </c>
      <c r="AL136" s="312" t="s">
        <v>1362</v>
      </c>
      <c r="AM136" s="312" t="s">
        <v>1363</v>
      </c>
    </row>
    <row r="137" spans="4:46" ht="13.5" customHeight="1">
      <c r="D137" s="1">
        <v>18</v>
      </c>
      <c r="AB137" s="320">
        <v>1</v>
      </c>
      <c r="AC137" s="951" t="s">
        <v>1364</v>
      </c>
      <c r="AD137" s="951"/>
      <c r="AE137" s="951"/>
      <c r="AF137" s="951"/>
      <c r="AG137" s="951"/>
      <c r="AH137" s="332"/>
      <c r="AI137" s="377"/>
      <c r="AJ137" s="377"/>
      <c r="AK137" s="377"/>
      <c r="AL137" s="378"/>
      <c r="AM137" s="378"/>
    </row>
    <row r="138" spans="4:46" ht="27.75" customHeight="1">
      <c r="D138" s="1">
        <v>37</v>
      </c>
      <c r="AB138" s="379" t="s">
        <v>618</v>
      </c>
      <c r="AC138" s="952" t="s">
        <v>1365</v>
      </c>
      <c r="AD138" s="952"/>
      <c r="AE138" s="952"/>
      <c r="AF138" s="952"/>
      <c r="AG138" s="952"/>
      <c r="AH138" s="335" t="s">
        <v>1035</v>
      </c>
      <c r="AI138" s="341" t="e">
        <f>#REF!</f>
        <v>#REF!</v>
      </c>
      <c r="AJ138" s="341" t="e">
        <f>#REF!</f>
        <v>#REF!</v>
      </c>
      <c r="AK138" s="341" t="e">
        <f>#REF!</f>
        <v>#REF!</v>
      </c>
      <c r="AL138" s="380" t="e">
        <f t="shared" ref="AL138:AL143" si="0">AK138-AJ138</f>
        <v>#REF!</v>
      </c>
      <c r="AM138" s="380" t="e">
        <f t="shared" ref="AM138:AM143" si="1">IF(AJ138=0,0,AK138/AJ138)</f>
        <v>#REF!</v>
      </c>
    </row>
    <row r="139" spans="4:46" ht="27.75" customHeight="1">
      <c r="D139" s="1">
        <v>37</v>
      </c>
      <c r="AB139" s="379" t="s">
        <v>622</v>
      </c>
      <c r="AC139" s="952" t="s">
        <v>1366</v>
      </c>
      <c r="AD139" s="952"/>
      <c r="AE139" s="952"/>
      <c r="AF139" s="952"/>
      <c r="AG139" s="952"/>
      <c r="AH139" s="335" t="s">
        <v>1035</v>
      </c>
      <c r="AI139" s="341" t="e">
        <f>#REF!</f>
        <v>#REF!</v>
      </c>
      <c r="AJ139" s="341" t="e">
        <f>#REF!</f>
        <v>#REF!</v>
      </c>
      <c r="AK139" s="341" t="e">
        <f>#REF!</f>
        <v>#REF!</v>
      </c>
      <c r="AL139" s="380" t="e">
        <f t="shared" si="0"/>
        <v>#REF!</v>
      </c>
      <c r="AM139" s="380" t="e">
        <f t="shared" si="1"/>
        <v>#REF!</v>
      </c>
    </row>
    <row r="140" spans="4:46" ht="13.5" customHeight="1">
      <c r="D140" s="1">
        <v>18</v>
      </c>
      <c r="AB140" s="320" t="s">
        <v>759</v>
      </c>
      <c r="AC140" s="951" t="s">
        <v>1367</v>
      </c>
      <c r="AD140" s="951"/>
      <c r="AE140" s="951"/>
      <c r="AF140" s="951"/>
      <c r="AG140" s="951"/>
      <c r="AH140" s="332" t="s">
        <v>1035</v>
      </c>
      <c r="AI140" s="341" t="e">
        <f>#REF!</f>
        <v>#REF!</v>
      </c>
      <c r="AJ140" s="341" t="e">
        <f>#REF!</f>
        <v>#REF!</v>
      </c>
      <c r="AK140" s="341" t="e">
        <f>#REF!</f>
        <v>#REF!</v>
      </c>
      <c r="AL140" s="305" t="e">
        <f t="shared" si="0"/>
        <v>#REF!</v>
      </c>
      <c r="AM140" s="305" t="e">
        <f t="shared" si="1"/>
        <v>#REF!</v>
      </c>
    </row>
    <row r="141" spans="4:46" ht="27.75" customHeight="1">
      <c r="D141" s="1">
        <v>37</v>
      </c>
      <c r="AB141" s="379" t="s">
        <v>625</v>
      </c>
      <c r="AC141" s="952" t="s">
        <v>1368</v>
      </c>
      <c r="AD141" s="952"/>
      <c r="AE141" s="952"/>
      <c r="AF141" s="952"/>
      <c r="AG141" s="952"/>
      <c r="AH141" s="335" t="s">
        <v>1035</v>
      </c>
      <c r="AI141" s="341" t="e">
        <f>#REF!</f>
        <v>#REF!</v>
      </c>
      <c r="AJ141" s="341" t="e">
        <f>#REF!</f>
        <v>#REF!</v>
      </c>
      <c r="AK141" s="341" t="e">
        <f>#REF!</f>
        <v>#REF!</v>
      </c>
      <c r="AL141" s="380" t="e">
        <f t="shared" si="0"/>
        <v>#REF!</v>
      </c>
      <c r="AM141" s="380" t="e">
        <f t="shared" si="1"/>
        <v>#REF!</v>
      </c>
    </row>
    <row r="142" spans="4:46" ht="27.75" customHeight="1">
      <c r="D142" s="1">
        <v>37</v>
      </c>
      <c r="AB142" s="379" t="s">
        <v>628</v>
      </c>
      <c r="AC142" s="952" t="s">
        <v>1369</v>
      </c>
      <c r="AD142" s="952"/>
      <c r="AE142" s="952"/>
      <c r="AF142" s="952"/>
      <c r="AG142" s="952"/>
      <c r="AH142" s="335" t="s">
        <v>1035</v>
      </c>
      <c r="AI142" s="341" t="e">
        <f>#REF!</f>
        <v>#REF!</v>
      </c>
      <c r="AJ142" s="341" t="e">
        <f>#REF!</f>
        <v>#REF!</v>
      </c>
      <c r="AK142" s="341" t="e">
        <f>#REF!</f>
        <v>#REF!</v>
      </c>
      <c r="AL142" s="380" t="e">
        <f t="shared" si="0"/>
        <v>#REF!</v>
      </c>
      <c r="AM142" s="380" t="e">
        <f t="shared" si="1"/>
        <v>#REF!</v>
      </c>
    </row>
    <row r="143" spans="4:46" ht="39" customHeight="1">
      <c r="D143" s="1">
        <v>52</v>
      </c>
      <c r="AB143" s="379" t="s">
        <v>902</v>
      </c>
      <c r="AC143" s="952" t="s">
        <v>1370</v>
      </c>
      <c r="AD143" s="952"/>
      <c r="AE143" s="952"/>
      <c r="AF143" s="952"/>
      <c r="AG143" s="952"/>
      <c r="AH143" s="335" t="s">
        <v>1035</v>
      </c>
      <c r="AI143" s="341" t="e">
        <f>#REF!</f>
        <v>#REF!</v>
      </c>
      <c r="AJ143" s="341" t="e">
        <f>#REF!</f>
        <v>#REF!</v>
      </c>
      <c r="AK143" s="341" t="e">
        <f>#REF!</f>
        <v>#REF!</v>
      </c>
      <c r="AL143" s="380" t="e">
        <f t="shared" si="0"/>
        <v>#REF!</v>
      </c>
      <c r="AM143" s="380" t="e">
        <f t="shared" si="1"/>
        <v>#REF!</v>
      </c>
    </row>
    <row r="144" spans="4:46" ht="27" customHeight="1">
      <c r="D144" s="1">
        <v>36</v>
      </c>
      <c r="AB144" s="320" t="s">
        <v>530</v>
      </c>
      <c r="AC144" s="951" t="s">
        <v>1371</v>
      </c>
      <c r="AD144" s="951"/>
      <c r="AE144" s="951"/>
      <c r="AF144" s="951"/>
      <c r="AG144" s="951"/>
      <c r="AH144" s="332"/>
      <c r="AI144" s="377"/>
      <c r="AJ144" s="377"/>
      <c r="AK144" s="381"/>
      <c r="AL144" s="377"/>
      <c r="AM144" s="377"/>
    </row>
    <row r="145" spans="4:39" ht="27.75" customHeight="1">
      <c r="D145" s="1">
        <v>37</v>
      </c>
      <c r="AB145" s="379" t="s">
        <v>632</v>
      </c>
      <c r="AC145" s="952" t="s">
        <v>1372</v>
      </c>
      <c r="AD145" s="952"/>
      <c r="AE145" s="952"/>
      <c r="AF145" s="952"/>
      <c r="AG145" s="952"/>
      <c r="AH145" s="335" t="s">
        <v>1035</v>
      </c>
      <c r="AI145" s="341" t="e">
        <f>#REF!</f>
        <v>#REF!</v>
      </c>
      <c r="AJ145" s="341" t="e">
        <f>#REF!</f>
        <v>#REF!</v>
      </c>
      <c r="AK145" s="341" t="e">
        <f>#REF!</f>
        <v>#REF!</v>
      </c>
      <c r="AL145" s="380" t="e">
        <f>AK145-AJ145</f>
        <v>#REF!</v>
      </c>
      <c r="AM145" s="380" t="e">
        <f>IF(AJ145=0,0,AK145/AJ145)</f>
        <v>#REF!</v>
      </c>
    </row>
    <row r="146" spans="4:39" ht="27.75" customHeight="1">
      <c r="D146" s="1">
        <v>37</v>
      </c>
      <c r="AB146" s="379" t="s">
        <v>762</v>
      </c>
      <c r="AC146" s="952" t="s">
        <v>1373</v>
      </c>
      <c r="AD146" s="952"/>
      <c r="AE146" s="952"/>
      <c r="AF146" s="952"/>
      <c r="AG146" s="952"/>
      <c r="AH146" s="335" t="s">
        <v>1035</v>
      </c>
      <c r="AI146" s="341" t="e">
        <f>#REF!</f>
        <v>#REF!</v>
      </c>
      <c r="AJ146" s="341" t="e">
        <f>#REF!</f>
        <v>#REF!</v>
      </c>
      <c r="AK146" s="341" t="e">
        <f>#REF!</f>
        <v>#REF!</v>
      </c>
      <c r="AL146" s="380" t="e">
        <f>AK146-AJ146</f>
        <v>#REF!</v>
      </c>
      <c r="AM146" s="380" t="e">
        <f>IF(AJ146=0,0,AK146/AJ146)</f>
        <v>#REF!</v>
      </c>
    </row>
    <row r="147" spans="4:39" ht="13.5" customHeight="1">
      <c r="D147" s="1">
        <v>18</v>
      </c>
      <c r="AB147" s="320" t="s">
        <v>532</v>
      </c>
      <c r="AC147" s="951" t="s">
        <v>1374</v>
      </c>
      <c r="AD147" s="951"/>
      <c r="AE147" s="951"/>
      <c r="AF147" s="951"/>
      <c r="AG147" s="951"/>
      <c r="AH147" s="332"/>
      <c r="AI147" s="377"/>
      <c r="AJ147" s="377"/>
      <c r="AK147" s="381"/>
      <c r="AL147" s="377"/>
      <c r="AM147" s="377"/>
    </row>
    <row r="148" spans="4:39" ht="13.5" customHeight="1">
      <c r="D148" s="1">
        <v>18</v>
      </c>
      <c r="AB148" s="379" t="s">
        <v>637</v>
      </c>
      <c r="AC148" s="952" t="s">
        <v>616</v>
      </c>
      <c r="AD148" s="952"/>
      <c r="AE148" s="952"/>
      <c r="AF148" s="952"/>
      <c r="AG148" s="952"/>
      <c r="AH148" s="335" t="s">
        <v>1035</v>
      </c>
      <c r="AI148" s="341" t="e">
        <f>#REF!</f>
        <v>#REF!</v>
      </c>
      <c r="AJ148" s="341" t="e">
        <f>#REF!</f>
        <v>#REF!</v>
      </c>
      <c r="AK148" s="341" t="e">
        <f>#REF!</f>
        <v>#REF!</v>
      </c>
      <c r="AL148" s="380" t="e">
        <f t="shared" ref="AL148:AL167" si="2">AK148-AJ148</f>
        <v>#REF!</v>
      </c>
      <c r="AM148" s="380" t="e">
        <f t="shared" ref="AM148:AM167" si="3">IF(AJ148=0,0,AK148/AJ148)</f>
        <v>#REF!</v>
      </c>
    </row>
    <row r="149" spans="4:39" ht="13.5" customHeight="1">
      <c r="D149" s="1">
        <v>18</v>
      </c>
      <c r="AB149" s="320" t="s">
        <v>988</v>
      </c>
      <c r="AC149" s="951" t="s">
        <v>1375</v>
      </c>
      <c r="AD149" s="951"/>
      <c r="AE149" s="951"/>
      <c r="AF149" s="951"/>
      <c r="AG149" s="951"/>
      <c r="AH149" s="332" t="s">
        <v>1035</v>
      </c>
      <c r="AI149" s="341" t="e">
        <f>#REF!</f>
        <v>#REF!</v>
      </c>
      <c r="AJ149" s="341" t="e">
        <f>#REF!</f>
        <v>#REF!</v>
      </c>
      <c r="AK149" s="341" t="e">
        <f>#REF!</f>
        <v>#REF!</v>
      </c>
      <c r="AL149" s="305" t="e">
        <f t="shared" si="2"/>
        <v>#REF!</v>
      </c>
      <c r="AM149" s="305" t="e">
        <f t="shared" si="3"/>
        <v>#REF!</v>
      </c>
    </row>
    <row r="150" spans="4:39" ht="13.5" customHeight="1">
      <c r="D150" s="1">
        <v>18</v>
      </c>
      <c r="AB150" s="379" t="s">
        <v>642</v>
      </c>
      <c r="AC150" s="952" t="s">
        <v>1376</v>
      </c>
      <c r="AD150" s="952"/>
      <c r="AE150" s="952"/>
      <c r="AF150" s="952"/>
      <c r="AG150" s="952"/>
      <c r="AH150" s="335" t="s">
        <v>1035</v>
      </c>
      <c r="AI150" s="341" t="e">
        <f>#REF!</f>
        <v>#REF!</v>
      </c>
      <c r="AJ150" s="341" t="e">
        <f>#REF!</f>
        <v>#REF!</v>
      </c>
      <c r="AK150" s="341" t="e">
        <f>#REF!</f>
        <v>#REF!</v>
      </c>
      <c r="AL150" s="380" t="e">
        <f t="shared" si="2"/>
        <v>#REF!</v>
      </c>
      <c r="AM150" s="380" t="e">
        <f t="shared" si="3"/>
        <v>#REF!</v>
      </c>
    </row>
    <row r="151" spans="4:39" ht="13.5" customHeight="1">
      <c r="D151" s="1">
        <v>18</v>
      </c>
      <c r="AB151" s="320" t="s">
        <v>940</v>
      </c>
      <c r="AC151" s="951" t="s">
        <v>1375</v>
      </c>
      <c r="AD151" s="951"/>
      <c r="AE151" s="951"/>
      <c r="AF151" s="951"/>
      <c r="AG151" s="951"/>
      <c r="AH151" s="332" t="s">
        <v>1035</v>
      </c>
      <c r="AI151" s="341" t="e">
        <f>#REF!</f>
        <v>#REF!</v>
      </c>
      <c r="AJ151" s="341" t="e">
        <f>#REF!</f>
        <v>#REF!</v>
      </c>
      <c r="AK151" s="341" t="e">
        <f>#REF!</f>
        <v>#REF!</v>
      </c>
      <c r="AL151" s="305" t="e">
        <f t="shared" si="2"/>
        <v>#REF!</v>
      </c>
      <c r="AM151" s="305" t="e">
        <f t="shared" si="3"/>
        <v>#REF!</v>
      </c>
    </row>
    <row r="152" spans="4:39" ht="13.5" customHeight="1">
      <c r="D152" s="1">
        <v>18</v>
      </c>
      <c r="AB152" s="379" t="s">
        <v>647</v>
      </c>
      <c r="AC152" s="952" t="s">
        <v>1377</v>
      </c>
      <c r="AD152" s="952"/>
      <c r="AE152" s="952"/>
      <c r="AF152" s="952"/>
      <c r="AG152" s="952"/>
      <c r="AH152" s="335" t="s">
        <v>1035</v>
      </c>
      <c r="AI152" s="341" t="e">
        <f>#REF!</f>
        <v>#REF!</v>
      </c>
      <c r="AJ152" s="341" t="e">
        <f>#REF!</f>
        <v>#REF!</v>
      </c>
      <c r="AK152" s="341" t="e">
        <f>#REF!</f>
        <v>#REF!</v>
      </c>
      <c r="AL152" s="380" t="e">
        <f t="shared" si="2"/>
        <v>#REF!</v>
      </c>
      <c r="AM152" s="380" t="e">
        <f t="shared" si="3"/>
        <v>#REF!</v>
      </c>
    </row>
    <row r="153" spans="4:39" ht="13.5" customHeight="1">
      <c r="D153" s="1">
        <v>18</v>
      </c>
      <c r="AB153" s="320" t="s">
        <v>994</v>
      </c>
      <c r="AC153" s="951" t="s">
        <v>1375</v>
      </c>
      <c r="AD153" s="951"/>
      <c r="AE153" s="951"/>
      <c r="AF153" s="951"/>
      <c r="AG153" s="951"/>
      <c r="AH153" s="332" t="s">
        <v>1035</v>
      </c>
      <c r="AI153" s="341" t="e">
        <f>#REF!</f>
        <v>#REF!</v>
      </c>
      <c r="AJ153" s="341" t="e">
        <f>#REF!</f>
        <v>#REF!</v>
      </c>
      <c r="AK153" s="341" t="e">
        <f>#REF!</f>
        <v>#REF!</v>
      </c>
      <c r="AL153" s="305" t="e">
        <f t="shared" si="2"/>
        <v>#REF!</v>
      </c>
      <c r="AM153" s="305" t="e">
        <f t="shared" si="3"/>
        <v>#REF!</v>
      </c>
    </row>
    <row r="154" spans="4:39" ht="13.5" customHeight="1">
      <c r="D154" s="1">
        <v>18</v>
      </c>
      <c r="AB154" s="379" t="s">
        <v>652</v>
      </c>
      <c r="AC154" s="952" t="s">
        <v>1378</v>
      </c>
      <c r="AD154" s="952"/>
      <c r="AE154" s="952"/>
      <c r="AF154" s="952"/>
      <c r="AG154" s="952"/>
      <c r="AH154" s="335" t="s">
        <v>1035</v>
      </c>
      <c r="AI154" s="341" t="e">
        <f>#REF!</f>
        <v>#REF!</v>
      </c>
      <c r="AJ154" s="341" t="e">
        <f>#REF!</f>
        <v>#REF!</v>
      </c>
      <c r="AK154" s="341" t="e">
        <f>#REF!</f>
        <v>#REF!</v>
      </c>
      <c r="AL154" s="380" t="e">
        <f t="shared" si="2"/>
        <v>#REF!</v>
      </c>
      <c r="AM154" s="380" t="e">
        <f t="shared" si="3"/>
        <v>#REF!</v>
      </c>
    </row>
    <row r="155" spans="4:39" ht="13.5" customHeight="1">
      <c r="D155" s="1">
        <v>18</v>
      </c>
      <c r="AB155" s="320" t="s">
        <v>995</v>
      </c>
      <c r="AC155" s="951" t="s">
        <v>1375</v>
      </c>
      <c r="AD155" s="951"/>
      <c r="AE155" s="951"/>
      <c r="AF155" s="951"/>
      <c r="AG155" s="951"/>
      <c r="AH155" s="332" t="s">
        <v>1035</v>
      </c>
      <c r="AI155" s="341" t="e">
        <f>#REF!</f>
        <v>#REF!</v>
      </c>
      <c r="AJ155" s="341" t="e">
        <f>#REF!</f>
        <v>#REF!</v>
      </c>
      <c r="AK155" s="341" t="e">
        <f>#REF!</f>
        <v>#REF!</v>
      </c>
      <c r="AL155" s="305" t="e">
        <f t="shared" si="2"/>
        <v>#REF!</v>
      </c>
      <c r="AM155" s="305" t="e">
        <f t="shared" si="3"/>
        <v>#REF!</v>
      </c>
    </row>
    <row r="156" spans="4:39" ht="27.75" customHeight="1">
      <c r="D156" s="1">
        <v>37</v>
      </c>
      <c r="AB156" s="379" t="s">
        <v>656</v>
      </c>
      <c r="AC156" s="952" t="s">
        <v>621</v>
      </c>
      <c r="AD156" s="952"/>
      <c r="AE156" s="952"/>
      <c r="AF156" s="952"/>
      <c r="AG156" s="952"/>
      <c r="AH156" s="335" t="s">
        <v>1035</v>
      </c>
      <c r="AI156" s="341" t="e">
        <f>#REF!</f>
        <v>#REF!</v>
      </c>
      <c r="AJ156" s="341" t="e">
        <f>#REF!</f>
        <v>#REF!</v>
      </c>
      <c r="AK156" s="341" t="e">
        <f>#REF!</f>
        <v>#REF!</v>
      </c>
      <c r="AL156" s="380" t="e">
        <f t="shared" si="2"/>
        <v>#REF!</v>
      </c>
      <c r="AM156" s="380" t="e">
        <f t="shared" si="3"/>
        <v>#REF!</v>
      </c>
    </row>
    <row r="157" spans="4:39" ht="13.5" customHeight="1">
      <c r="D157" s="1">
        <v>18</v>
      </c>
      <c r="AB157" s="320" t="s">
        <v>1379</v>
      </c>
      <c r="AC157" s="951" t="s">
        <v>1375</v>
      </c>
      <c r="AD157" s="951"/>
      <c r="AE157" s="951"/>
      <c r="AF157" s="951"/>
      <c r="AG157" s="951"/>
      <c r="AH157" s="332" t="s">
        <v>1035</v>
      </c>
      <c r="AI157" s="341" t="e">
        <f>#REF!</f>
        <v>#REF!</v>
      </c>
      <c r="AJ157" s="341" t="e">
        <f>#REF!</f>
        <v>#REF!</v>
      </c>
      <c r="AK157" s="341" t="e">
        <f>#REF!</f>
        <v>#REF!</v>
      </c>
      <c r="AL157" s="305" t="e">
        <f t="shared" si="2"/>
        <v>#REF!</v>
      </c>
      <c r="AM157" s="305" t="e">
        <f t="shared" si="3"/>
        <v>#REF!</v>
      </c>
    </row>
    <row r="158" spans="4:39" ht="13.5" customHeight="1">
      <c r="D158" s="1">
        <v>18</v>
      </c>
      <c r="AB158" s="379" t="s">
        <v>912</v>
      </c>
      <c r="AC158" s="952" t="s">
        <v>1380</v>
      </c>
      <c r="AD158" s="952"/>
      <c r="AE158" s="952"/>
      <c r="AF158" s="952"/>
      <c r="AG158" s="952"/>
      <c r="AH158" s="335" t="s">
        <v>1035</v>
      </c>
      <c r="AI158" s="341" t="e">
        <f>#REF!</f>
        <v>#REF!</v>
      </c>
      <c r="AJ158" s="341" t="e">
        <f>#REF!</f>
        <v>#REF!</v>
      </c>
      <c r="AK158" s="341" t="e">
        <f>#REF!</f>
        <v>#REF!</v>
      </c>
      <c r="AL158" s="380" t="e">
        <f t="shared" si="2"/>
        <v>#REF!</v>
      </c>
      <c r="AM158" s="380" t="e">
        <f t="shared" si="3"/>
        <v>#REF!</v>
      </c>
    </row>
    <row r="159" spans="4:39" ht="13.5" customHeight="1">
      <c r="D159" s="1">
        <v>18</v>
      </c>
      <c r="AB159" s="320" t="s">
        <v>997</v>
      </c>
      <c r="AC159" s="951" t="s">
        <v>1375</v>
      </c>
      <c r="AD159" s="951"/>
      <c r="AE159" s="951"/>
      <c r="AF159" s="951"/>
      <c r="AG159" s="951"/>
      <c r="AH159" s="332" t="s">
        <v>1035</v>
      </c>
      <c r="AI159" s="341" t="e">
        <f>#REF!</f>
        <v>#REF!</v>
      </c>
      <c r="AJ159" s="341" t="e">
        <f>#REF!</f>
        <v>#REF!</v>
      </c>
      <c r="AK159" s="341" t="e">
        <f>#REF!</f>
        <v>#REF!</v>
      </c>
      <c r="AL159" s="305" t="e">
        <f t="shared" si="2"/>
        <v>#REF!</v>
      </c>
      <c r="AM159" s="305" t="e">
        <f t="shared" si="3"/>
        <v>#REF!</v>
      </c>
    </row>
    <row r="160" spans="4:39" ht="13.5" customHeight="1">
      <c r="D160" s="1">
        <v>18</v>
      </c>
      <c r="AB160" s="379" t="s">
        <v>913</v>
      </c>
      <c r="AC160" s="952" t="s">
        <v>1381</v>
      </c>
      <c r="AD160" s="952"/>
      <c r="AE160" s="952"/>
      <c r="AF160" s="952"/>
      <c r="AG160" s="952"/>
      <c r="AH160" s="335" t="s">
        <v>1035</v>
      </c>
      <c r="AI160" s="341" t="e">
        <f>#REF!</f>
        <v>#REF!</v>
      </c>
      <c r="AJ160" s="341" t="e">
        <f>#REF!</f>
        <v>#REF!</v>
      </c>
      <c r="AK160" s="341" t="e">
        <f>#REF!</f>
        <v>#REF!</v>
      </c>
      <c r="AL160" s="380" t="e">
        <f t="shared" si="2"/>
        <v>#REF!</v>
      </c>
      <c r="AM160" s="380" t="e">
        <f t="shared" si="3"/>
        <v>#REF!</v>
      </c>
    </row>
    <row r="161" spans="4:39" ht="13.5" customHeight="1">
      <c r="D161" s="1">
        <v>18</v>
      </c>
      <c r="AB161" s="320" t="s">
        <v>1382</v>
      </c>
      <c r="AC161" s="951" t="s">
        <v>1375</v>
      </c>
      <c r="AD161" s="951"/>
      <c r="AE161" s="951"/>
      <c r="AF161" s="951"/>
      <c r="AG161" s="951"/>
      <c r="AH161" s="332" t="s">
        <v>1035</v>
      </c>
      <c r="AI161" s="341" t="e">
        <f>#REF!</f>
        <v>#REF!</v>
      </c>
      <c r="AJ161" s="341" t="e">
        <f>#REF!</f>
        <v>#REF!</v>
      </c>
      <c r="AK161" s="341" t="e">
        <f>#REF!</f>
        <v>#REF!</v>
      </c>
      <c r="AL161" s="305" t="e">
        <f t="shared" si="2"/>
        <v>#REF!</v>
      </c>
      <c r="AM161" s="305" t="e">
        <f t="shared" si="3"/>
        <v>#REF!</v>
      </c>
    </row>
    <row r="162" spans="4:39" ht="27.75" customHeight="1">
      <c r="D162" s="1">
        <v>37</v>
      </c>
      <c r="AB162" s="379" t="s">
        <v>914</v>
      </c>
      <c r="AC162" s="952" t="s">
        <v>1383</v>
      </c>
      <c r="AD162" s="952"/>
      <c r="AE162" s="952"/>
      <c r="AF162" s="952"/>
      <c r="AG162" s="952"/>
      <c r="AH162" s="335" t="s">
        <v>1035</v>
      </c>
      <c r="AI162" s="341" t="e">
        <f>#REF!</f>
        <v>#REF!</v>
      </c>
      <c r="AJ162" s="341" t="e">
        <f>#REF!</f>
        <v>#REF!</v>
      </c>
      <c r="AK162" s="341" t="e">
        <f>#REF!</f>
        <v>#REF!</v>
      </c>
      <c r="AL162" s="380" t="e">
        <f t="shared" si="2"/>
        <v>#REF!</v>
      </c>
      <c r="AM162" s="380" t="e">
        <f t="shared" si="3"/>
        <v>#REF!</v>
      </c>
    </row>
    <row r="163" spans="4:39" ht="13.5" customHeight="1">
      <c r="D163" s="1">
        <v>18</v>
      </c>
      <c r="AB163" s="320" t="s">
        <v>1384</v>
      </c>
      <c r="AC163" s="951" t="s">
        <v>1375</v>
      </c>
      <c r="AD163" s="951"/>
      <c r="AE163" s="951"/>
      <c r="AF163" s="951"/>
      <c r="AG163" s="951"/>
      <c r="AH163" s="332" t="s">
        <v>1035</v>
      </c>
      <c r="AI163" s="341" t="e">
        <f>#REF!</f>
        <v>#REF!</v>
      </c>
      <c r="AJ163" s="341" t="e">
        <f>#REF!</f>
        <v>#REF!</v>
      </c>
      <c r="AK163" s="341" t="e">
        <f>#REF!</f>
        <v>#REF!</v>
      </c>
      <c r="AL163" s="305" t="e">
        <f t="shared" si="2"/>
        <v>#REF!</v>
      </c>
      <c r="AM163" s="305" t="e">
        <f t="shared" si="3"/>
        <v>#REF!</v>
      </c>
    </row>
    <row r="164" spans="4:39" ht="13.5" customHeight="1">
      <c r="D164" s="1">
        <v>18</v>
      </c>
      <c r="AB164" s="379" t="s">
        <v>915</v>
      </c>
      <c r="AC164" s="952" t="s">
        <v>1385</v>
      </c>
      <c r="AD164" s="952"/>
      <c r="AE164" s="952"/>
      <c r="AF164" s="952"/>
      <c r="AG164" s="952"/>
      <c r="AH164" s="335" t="s">
        <v>1035</v>
      </c>
      <c r="AI164" s="380" t="e">
        <f>AI162-AI158+AI160+AI154</f>
        <v>#REF!</v>
      </c>
      <c r="AJ164" s="380" t="e">
        <f>AJ162-AJ158+AJ160+AJ154</f>
        <v>#REF!</v>
      </c>
      <c r="AK164" s="382" t="e">
        <f>AK162-AK158+AK160+AK154</f>
        <v>#REF!</v>
      </c>
      <c r="AL164" s="380" t="e">
        <f t="shared" si="2"/>
        <v>#REF!</v>
      </c>
      <c r="AM164" s="380" t="e">
        <f t="shared" si="3"/>
        <v>#REF!</v>
      </c>
    </row>
    <row r="165" spans="4:39" ht="13.5" customHeight="1">
      <c r="D165" s="1">
        <v>18</v>
      </c>
      <c r="AB165" s="320" t="s">
        <v>1386</v>
      </c>
      <c r="AC165" s="951" t="s">
        <v>1375</v>
      </c>
      <c r="AD165" s="951"/>
      <c r="AE165" s="951"/>
      <c r="AF165" s="951"/>
      <c r="AG165" s="951"/>
      <c r="AH165" s="332" t="s">
        <v>1035</v>
      </c>
      <c r="AI165" s="341" t="e">
        <f>#REF!</f>
        <v>#REF!</v>
      </c>
      <c r="AJ165" s="341" t="e">
        <f>#REF!</f>
        <v>#REF!</v>
      </c>
      <c r="AK165" s="341" t="e">
        <f>#REF!</f>
        <v>#REF!</v>
      </c>
      <c r="AL165" s="305" t="e">
        <f t="shared" si="2"/>
        <v>#REF!</v>
      </c>
      <c r="AM165" s="305" t="e">
        <f t="shared" si="3"/>
        <v>#REF!</v>
      </c>
    </row>
    <row r="166" spans="4:39" ht="13.5" customHeight="1">
      <c r="D166" s="1">
        <v>18</v>
      </c>
      <c r="AB166" s="379" t="s">
        <v>1001</v>
      </c>
      <c r="AC166" s="952" t="s">
        <v>1387</v>
      </c>
      <c r="AD166" s="952"/>
      <c r="AE166" s="952"/>
      <c r="AF166" s="952"/>
      <c r="AG166" s="952"/>
      <c r="AH166" s="335" t="s">
        <v>1035</v>
      </c>
      <c r="AI166" s="341" t="e">
        <f>#REF!</f>
        <v>#REF!</v>
      </c>
      <c r="AJ166" s="341" t="e">
        <f>#REF!</f>
        <v>#REF!</v>
      </c>
      <c r="AK166" s="341" t="e">
        <f>#REF!</f>
        <v>#REF!</v>
      </c>
      <c r="AL166" s="380" t="e">
        <f t="shared" si="2"/>
        <v>#REF!</v>
      </c>
      <c r="AM166" s="380" t="e">
        <f t="shared" si="3"/>
        <v>#REF!</v>
      </c>
    </row>
    <row r="167" spans="4:39" ht="13.5" customHeight="1">
      <c r="D167" s="1">
        <v>18</v>
      </c>
      <c r="AB167" s="320" t="s">
        <v>1388</v>
      </c>
      <c r="AC167" s="951" t="s">
        <v>1375</v>
      </c>
      <c r="AD167" s="951"/>
      <c r="AE167" s="951"/>
      <c r="AF167" s="951"/>
      <c r="AG167" s="951"/>
      <c r="AH167" s="332" t="s">
        <v>1035</v>
      </c>
      <c r="AI167" s="341" t="e">
        <f>#REF!</f>
        <v>#REF!</v>
      </c>
      <c r="AJ167" s="341" t="e">
        <f>#REF!</f>
        <v>#REF!</v>
      </c>
      <c r="AK167" s="341" t="e">
        <f>#REF!</f>
        <v>#REF!</v>
      </c>
      <c r="AL167" s="305" t="e">
        <f t="shared" si="2"/>
        <v>#REF!</v>
      </c>
      <c r="AM167" s="305" t="e">
        <f t="shared" si="3"/>
        <v>#REF!</v>
      </c>
    </row>
    <row r="168" spans="4:39" ht="13.5" customHeight="1">
      <c r="D168" s="1">
        <v>18</v>
      </c>
      <c r="AB168" s="320" t="s">
        <v>534</v>
      </c>
      <c r="AC168" s="951" t="s">
        <v>1389</v>
      </c>
      <c r="AD168" s="951"/>
      <c r="AE168" s="951"/>
      <c r="AF168" s="951"/>
      <c r="AG168" s="951"/>
      <c r="AH168" s="332"/>
      <c r="AI168" s="326"/>
      <c r="AJ168" s="326"/>
      <c r="AK168" s="331"/>
      <c r="AL168" s="326"/>
      <c r="AM168" s="326"/>
    </row>
    <row r="169" spans="4:39" ht="13.5" customHeight="1">
      <c r="D169" s="1">
        <v>18</v>
      </c>
      <c r="AB169" s="379" t="s">
        <v>665</v>
      </c>
      <c r="AC169" s="952" t="s">
        <v>1390</v>
      </c>
      <c r="AD169" s="952"/>
      <c r="AE169" s="952"/>
      <c r="AF169" s="952"/>
      <c r="AG169" s="952"/>
      <c r="AH169" s="335" t="s">
        <v>633</v>
      </c>
      <c r="AI169" s="383">
        <f>IFERROR(AI142/AI138,0)</f>
        <v>0</v>
      </c>
      <c r="AJ169" s="383">
        <f>IFERROR(AJ142/AJ138,0)</f>
        <v>0</v>
      </c>
      <c r="AK169" s="384">
        <f>IFERROR(AK142/AK138,0)</f>
        <v>0</v>
      </c>
      <c r="AL169" s="380">
        <f>AK169-AJ169</f>
        <v>0</v>
      </c>
      <c r="AM169" s="380">
        <f>IF(AJ169=0,0,AK169/AJ169)</f>
        <v>0</v>
      </c>
    </row>
    <row r="170" spans="4:39" ht="13.5" customHeight="1">
      <c r="D170" s="1">
        <v>18</v>
      </c>
      <c r="AB170" s="379" t="s">
        <v>679</v>
      </c>
      <c r="AC170" s="952" t="s">
        <v>1391</v>
      </c>
      <c r="AD170" s="952"/>
      <c r="AE170" s="952"/>
      <c r="AF170" s="952"/>
      <c r="AG170" s="952"/>
      <c r="AH170" s="335" t="s">
        <v>777</v>
      </c>
      <c r="AI170" s="380">
        <f>IFERROR(AE$32/AI164,0)</f>
        <v>0</v>
      </c>
      <c r="AJ170" s="380">
        <f>IFERROR(AF$32/AJ164,0)</f>
        <v>0</v>
      </c>
      <c r="AK170" s="382">
        <f>IFERROR(AG$32/AK164,0)</f>
        <v>0</v>
      </c>
      <c r="AL170" s="380">
        <f>AK170-AJ170</f>
        <v>0</v>
      </c>
      <c r="AM170" s="380">
        <f>IF(AJ170=0,0,AK170/AJ170)</f>
        <v>0</v>
      </c>
    </row>
    <row r="171" spans="4:39" ht="27.75" customHeight="1">
      <c r="D171" s="1">
        <v>37</v>
      </c>
      <c r="AB171" s="379" t="s">
        <v>683</v>
      </c>
      <c r="AC171" s="952" t="s">
        <v>1392</v>
      </c>
      <c r="AD171" s="952"/>
      <c r="AE171" s="952"/>
      <c r="AF171" s="952"/>
      <c r="AG171" s="952"/>
      <c r="AH171" s="335" t="s">
        <v>1035</v>
      </c>
      <c r="AI171" s="380" t="e">
        <f>AI166+AI154</f>
        <v>#REF!</v>
      </c>
      <c r="AJ171" s="380" t="e">
        <f>AJ166+AJ154</f>
        <v>#REF!</v>
      </c>
      <c r="AK171" s="382" t="e">
        <f>AK166+AK154</f>
        <v>#REF!</v>
      </c>
      <c r="AL171" s="380" t="e">
        <f>AK171-AJ171</f>
        <v>#REF!</v>
      </c>
      <c r="AM171" s="380" t="e">
        <f>IF(AJ171=0,0,AK171/AJ171)</f>
        <v>#REF!</v>
      </c>
    </row>
    <row r="172" spans="4:39" ht="13.5" customHeight="1">
      <c r="D172" s="1">
        <v>18</v>
      </c>
      <c r="AB172" s="379" t="s">
        <v>686</v>
      </c>
      <c r="AC172" s="952" t="s">
        <v>1393</v>
      </c>
      <c r="AD172" s="952"/>
      <c r="AE172" s="952"/>
      <c r="AF172" s="952"/>
      <c r="AG172" s="952"/>
      <c r="AH172" s="335" t="s">
        <v>633</v>
      </c>
      <c r="AI172" s="385">
        <f>IFERROR((AI142-AI139)/AI141,0)</f>
        <v>0</v>
      </c>
      <c r="AJ172" s="385">
        <f>IFERROR((AJ142-AJ139)/AJ141,0)</f>
        <v>0</v>
      </c>
      <c r="AK172" s="386">
        <f>IFERROR((AK142-AK139)/AK141,0)</f>
        <v>0</v>
      </c>
      <c r="AL172" s="380">
        <f>AK172-AJ172</f>
        <v>0</v>
      </c>
      <c r="AM172" s="380">
        <f>IF(AJ172=0,0,AK172/AJ172)</f>
        <v>0</v>
      </c>
    </row>
    <row r="173" spans="4:39" ht="13.5" customHeight="1">
      <c r="D173" s="1">
        <v>18</v>
      </c>
    </row>
    <row r="174" spans="4:39" ht="31.5" customHeight="1">
      <c r="D174" s="1">
        <v>42</v>
      </c>
      <c r="AB174" s="936" t="str">
        <f>"По данным таблицы показателей раздельного учёта "&amp;Титульный!AC27&amp;" за "&amp;PRD-2&amp;" год предприятием получена чистая прибыль в размере (тыс.руб)"</f>
        <v>По данным таблицы показателей раздельного учёта МУП "Горэлектросети" за 2024 год предприятием получена чистая прибыль в размере (тыс.руб)</v>
      </c>
      <c r="AC174" s="781"/>
      <c r="AD174" s="781"/>
      <c r="AE174" s="781"/>
      <c r="AF174" s="781"/>
      <c r="AG174" s="781"/>
      <c r="AH174" s="781"/>
      <c r="AI174" s="781"/>
      <c r="AJ174" s="781"/>
      <c r="AK174" s="781"/>
      <c r="AL174" s="304" t="e">
        <f>AK166</f>
        <v>#REF!</v>
      </c>
    </row>
    <row r="175" spans="4:39" ht="17.25" customHeight="1">
      <c r="D175" s="1">
        <v>23</v>
      </c>
      <c r="AB175" s="936" t="s">
        <v>1394</v>
      </c>
      <c r="AC175" s="781"/>
      <c r="AD175" s="781"/>
      <c r="AE175" s="781"/>
      <c r="AF175" s="781"/>
      <c r="AG175" s="781"/>
      <c r="AH175" s="781"/>
      <c r="AI175" s="781"/>
      <c r="AJ175" s="781"/>
      <c r="AK175" s="781"/>
      <c r="AL175" s="304" t="e">
        <f>AK167</f>
        <v>#REF!</v>
      </c>
    </row>
    <row r="176" spans="4:39" ht="17.25" customHeight="1">
      <c r="D176" s="1">
        <v>23</v>
      </c>
    </row>
    <row r="177" spans="4:46" ht="17.25" customHeight="1">
      <c r="D177" s="1">
        <v>23</v>
      </c>
      <c r="AB177" s="936" t="s">
        <v>1395</v>
      </c>
      <c r="AC177" s="781"/>
      <c r="AD177" s="781"/>
      <c r="AE177" s="781"/>
      <c r="AF177" s="781"/>
      <c r="AG177" s="781"/>
      <c r="AH177" s="781"/>
      <c r="AI177" s="781"/>
      <c r="AJ177" s="781"/>
      <c r="AK177" s="781"/>
      <c r="AL177" s="781"/>
      <c r="AM177" s="781"/>
      <c r="AN177" s="781"/>
      <c r="AO177" s="781"/>
      <c r="AP177" s="781"/>
      <c r="AQ177" s="781"/>
      <c r="AR177" s="781"/>
      <c r="AS177" s="781"/>
      <c r="AT177" s="781"/>
    </row>
    <row r="178" spans="4:46" ht="17.25" customHeight="1">
      <c r="D178" s="1">
        <v>23</v>
      </c>
      <c r="AB178" s="936" t="s">
        <v>1396</v>
      </c>
      <c r="AC178" s="781"/>
      <c r="AD178" s="781"/>
      <c r="AE178" s="781"/>
      <c r="AF178" s="781"/>
      <c r="AG178" s="781"/>
      <c r="AH178" s="781"/>
      <c r="AI178" s="781"/>
      <c r="AJ178" s="781"/>
      <c r="AK178" s="781"/>
      <c r="AL178" s="304" t="e">
        <f>IF(AK151&lt;0,AK151*-1,AK151)</f>
        <v>#REF!</v>
      </c>
    </row>
    <row r="179" spans="4:46" ht="17.25" customHeight="1">
      <c r="D179" s="1">
        <v>23</v>
      </c>
      <c r="AB179" s="936" t="s">
        <v>1397</v>
      </c>
      <c r="AC179" s="781"/>
      <c r="AD179" s="781"/>
      <c r="AE179" s="781"/>
      <c r="AF179" s="781"/>
      <c r="AG179" s="781"/>
      <c r="AH179" s="781"/>
      <c r="AI179" s="781"/>
      <c r="AJ179" s="781"/>
      <c r="AK179" s="781"/>
      <c r="AL179" s="304" t="e">
        <f>AK151</f>
        <v>#REF!</v>
      </c>
    </row>
    <row r="180" spans="4:46" ht="17.25" customHeight="1">
      <c r="D180" s="1">
        <v>23</v>
      </c>
      <c r="AB180" s="936" t="e">
        <f>IF(AL180&gt;0,"ниже суммы выручки на "&amp;AL180&amp;" тыс.руб. (-"&amp;AM180&amp;"%)","выше суммы выручки на "&amp;AL180&amp;" тыс.руб. ("&amp;ROUND(AM180,2)&amp;"%)")</f>
        <v>#REF!</v>
      </c>
      <c r="AC180" s="781"/>
      <c r="AD180" s="781"/>
      <c r="AE180" s="781"/>
      <c r="AF180" s="781"/>
      <c r="AG180" s="781"/>
      <c r="AH180" s="781"/>
      <c r="AI180" s="781"/>
      <c r="AJ180" s="781"/>
      <c r="AK180" s="781"/>
      <c r="AL180" s="305" t="e">
        <f>AL178-AL179</f>
        <v>#REF!</v>
      </c>
      <c r="AM180" s="306" t="e">
        <f>IF(AL179=0,0,AL178/AL179)</f>
        <v>#REF!</v>
      </c>
    </row>
    <row r="181" spans="4:46" ht="17.25" customHeight="1">
      <c r="D181" s="1">
        <v>23</v>
      </c>
    </row>
    <row r="182" spans="4:46" ht="17.25" customHeight="1">
      <c r="D182" s="1">
        <v>23</v>
      </c>
      <c r="AB182" s="936" t="s">
        <v>1398</v>
      </c>
      <c r="AC182" s="781"/>
      <c r="AD182" s="781"/>
      <c r="AE182" s="781"/>
      <c r="AF182" s="781"/>
      <c r="AG182" s="781"/>
      <c r="AH182" s="781"/>
      <c r="AI182" s="781"/>
      <c r="AJ182" s="781"/>
      <c r="AK182" s="781"/>
      <c r="AL182" s="304" t="e">
        <f>AK153</f>
        <v>#REF!</v>
      </c>
    </row>
    <row r="183" spans="4:46" ht="17.25" customHeight="1">
      <c r="D183" s="1">
        <v>23</v>
      </c>
      <c r="AB183" s="936" t="s">
        <v>1399</v>
      </c>
      <c r="AC183" s="781"/>
      <c r="AD183" s="781"/>
      <c r="AE183" s="781"/>
      <c r="AF183" s="781"/>
      <c r="AG183" s="781"/>
      <c r="AH183" s="781"/>
      <c r="AI183" s="781"/>
      <c r="AJ183" s="781"/>
      <c r="AK183" s="781"/>
      <c r="AL183" s="304" t="e">
        <f>AK157</f>
        <v>#REF!</v>
      </c>
    </row>
    <row r="184" spans="4:46" ht="27.75" customHeight="1">
      <c r="D184" s="1">
        <v>37</v>
      </c>
      <c r="AB184" s="936" t="e">
        <f>IF(AL180&gt;0,"В общем можно сделать вывод, что по виду деятельности «Передача электроэнергии», деятельность "&amp;Титульный!AC27&amp;" в "&amp;PRD-2&amp;" году являлась прибыльной.","В общем можно сделать вывод, что по виду деятельности «Передача электроэнергии», деятельность "&amp;Титульный!AC27&amp;" в "&amp;PRD-2&amp;" году являлась убыточной.")</f>
        <v>#REF!</v>
      </c>
      <c r="AC184" s="781"/>
      <c r="AD184" s="781"/>
      <c r="AE184" s="781"/>
      <c r="AF184" s="781"/>
      <c r="AG184" s="781"/>
      <c r="AH184" s="781"/>
      <c r="AI184" s="781"/>
      <c r="AJ184" s="781"/>
      <c r="AK184" s="781"/>
      <c r="AL184" s="781"/>
      <c r="AM184" s="781"/>
      <c r="AN184" s="781"/>
      <c r="AO184" s="781"/>
      <c r="AP184" s="781"/>
      <c r="AQ184" s="781"/>
      <c r="AR184" s="781"/>
      <c r="AS184" s="781"/>
      <c r="AT184" s="781"/>
    </row>
    <row r="185" spans="4:46" ht="17.25" customHeight="1">
      <c r="D185" s="1">
        <v>23</v>
      </c>
      <c r="AB185" s="936" t="str">
        <f>"Валюта баланса "&amp;Титульный!AC27&amp;" на 31.12."&amp;PRD-2&amp;"  года составила"</f>
        <v>Валюта баланса МУП "Горэлектросети" на 31.12.2024  года составила</v>
      </c>
      <c r="AC185" s="781"/>
      <c r="AD185" s="781"/>
      <c r="AE185" s="781"/>
      <c r="AF185" s="781"/>
      <c r="AG185" s="781"/>
      <c r="AH185" s="781"/>
      <c r="AI185" s="781"/>
      <c r="AJ185" s="781"/>
      <c r="AK185" s="781"/>
      <c r="AL185" s="304" t="e">
        <f>AK138</f>
        <v>#REF!</v>
      </c>
    </row>
    <row r="186" spans="4:46" ht="17.25" customHeight="1">
      <c r="D186" s="1">
        <v>23</v>
      </c>
      <c r="AB186" s="936" t="e">
        <f>IF(AL186&lt;0,"Снижение по сравнению с аналогичным периодом прошлого года составило","Рост по сравнению с аналогичным периодом прошлого года составил")</f>
        <v>#REF!</v>
      </c>
      <c r="AC186" s="781"/>
      <c r="AD186" s="781"/>
      <c r="AE186" s="781"/>
      <c r="AF186" s="781"/>
      <c r="AG186" s="781"/>
      <c r="AH186" s="781"/>
      <c r="AI186" s="781"/>
      <c r="AJ186" s="781"/>
      <c r="AK186" s="781"/>
      <c r="AL186" s="304" t="e">
        <f>AL138</f>
        <v>#REF!</v>
      </c>
    </row>
    <row r="187" spans="4:46" ht="17.25" customHeight="1">
      <c r="D187" s="1">
        <v>23</v>
      </c>
      <c r="AB187" s="936" t="s">
        <v>1400</v>
      </c>
      <c r="AC187" s="781"/>
      <c r="AD187" s="781"/>
      <c r="AE187" s="781"/>
      <c r="AF187" s="781"/>
      <c r="AG187" s="781"/>
      <c r="AH187" s="781"/>
      <c r="AI187" s="781"/>
      <c r="AJ187" s="781"/>
      <c r="AK187" s="781"/>
    </row>
    <row r="188" spans="4:46" ht="17.25" customHeight="1">
      <c r="D188" s="1">
        <v>23</v>
      </c>
      <c r="AB188" s="892" t="s">
        <v>1401</v>
      </c>
      <c r="AC188" s="781"/>
      <c r="AD188" s="781"/>
      <c r="AE188" s="781"/>
      <c r="AF188" s="781"/>
      <c r="AG188" s="781"/>
      <c r="AH188" s="781"/>
      <c r="AI188" s="304" t="e">
        <f>AK139</f>
        <v>#REF!</v>
      </c>
      <c r="AJ188" s="307" t="s">
        <v>1402</v>
      </c>
      <c r="AK188" s="308" t="e">
        <f>IF(AL185=0,0,AI188/AL185)</f>
        <v>#REF!</v>
      </c>
      <c r="AL188" s="956" t="s">
        <v>1403</v>
      </c>
      <c r="AM188" s="781"/>
    </row>
    <row r="189" spans="4:46" ht="17.25" customHeight="1">
      <c r="D189" s="1">
        <v>23</v>
      </c>
      <c r="AB189" s="892" t="str">
        <f>"2. Оборотные активы по состоянию на 31.12."&amp;PRD-2&amp;" года составляют"</f>
        <v>2. Оборотные активы по состоянию на 31.12.2024 года составляют</v>
      </c>
      <c r="AC189" s="781"/>
      <c r="AD189" s="781"/>
      <c r="AE189" s="781"/>
      <c r="AF189" s="781"/>
      <c r="AG189" s="781"/>
      <c r="AH189" s="781"/>
      <c r="AI189" s="304" t="e">
        <f>AK141</f>
        <v>#REF!</v>
      </c>
    </row>
    <row r="190" spans="4:46" ht="17.25" customHeight="1">
      <c r="D190" s="1">
        <v>23</v>
      </c>
      <c r="AB190" s="892" t="e">
        <f>IF(AI190&lt;0,"Снижение по сравнению с аналогичным периодом прошлого года составило","Рост по сравнению с аналогичным периодом прошлого года составил")</f>
        <v>#REF!</v>
      </c>
      <c r="AC190" s="781"/>
      <c r="AD190" s="781"/>
      <c r="AE190" s="781"/>
      <c r="AF190" s="781"/>
      <c r="AG190" s="781"/>
      <c r="AH190" s="781"/>
      <c r="AI190" s="304" t="e">
        <f>AL141</f>
        <v>#REF!</v>
      </c>
      <c r="AK190" s="308">
        <f>IFERROR(-(AK141/AJ141/100),0)</f>
        <v>0</v>
      </c>
    </row>
    <row r="191" spans="4:46" ht="17.25" customHeight="1">
      <c r="D191" s="1">
        <v>23</v>
      </c>
      <c r="AB191" s="892" t="s">
        <v>1404</v>
      </c>
      <c r="AC191" s="781"/>
      <c r="AD191" s="781"/>
      <c r="AE191" s="781"/>
      <c r="AF191" s="781"/>
      <c r="AG191" s="781"/>
      <c r="AH191" s="781"/>
    </row>
    <row r="192" spans="4:46" ht="17.25" customHeight="1">
      <c r="D192" s="1">
        <v>23</v>
      </c>
      <c r="AB192" s="892" t="s">
        <v>1405</v>
      </c>
      <c r="AC192" s="781"/>
      <c r="AD192" s="781"/>
      <c r="AE192" s="781"/>
      <c r="AF192" s="781"/>
      <c r="AG192" s="781"/>
      <c r="AH192" s="781"/>
      <c r="AI192" s="304" t="e">
        <f>AK145</f>
        <v>#REF!</v>
      </c>
      <c r="AJ192" s="307" t="s">
        <v>1402</v>
      </c>
      <c r="AK192" s="308">
        <f>IFERROR(AI192/$AL$185,0)</f>
        <v>0</v>
      </c>
      <c r="AL192" s="956" t="s">
        <v>1403</v>
      </c>
      <c r="AM192" s="781"/>
    </row>
    <row r="193" spans="4:46" ht="17.25" customHeight="1">
      <c r="D193" s="1">
        <v>23</v>
      </c>
      <c r="AB193" s="892" t="s">
        <v>1406</v>
      </c>
      <c r="AC193" s="781"/>
      <c r="AD193" s="781"/>
      <c r="AE193" s="781"/>
      <c r="AF193" s="781"/>
      <c r="AG193" s="781"/>
      <c r="AH193" s="781"/>
      <c r="AI193" s="304" t="e">
        <f>#REF!</f>
        <v>#REF!</v>
      </c>
      <c r="AJ193" s="307" t="s">
        <v>1402</v>
      </c>
      <c r="AK193" s="308">
        <f>IFERROR(AI193/$AL$185,0)</f>
        <v>0</v>
      </c>
      <c r="AL193" s="956" t="s">
        <v>1403</v>
      </c>
      <c r="AM193" s="781"/>
    </row>
    <row r="194" spans="4:46" ht="17.25" customHeight="1">
      <c r="D194" s="1">
        <v>23</v>
      </c>
      <c r="AB194" s="892" t="s">
        <v>1407</v>
      </c>
      <c r="AC194" s="781"/>
      <c r="AD194" s="781"/>
      <c r="AE194" s="781"/>
      <c r="AF194" s="781"/>
      <c r="AG194" s="781"/>
      <c r="AH194" s="781"/>
      <c r="AI194" s="304" t="e">
        <f>#REF!</f>
        <v>#REF!</v>
      </c>
      <c r="AJ194" s="307" t="s">
        <v>1402</v>
      </c>
      <c r="AK194" s="308">
        <f>IFERROR(AI194/$AL$185,0)</f>
        <v>0</v>
      </c>
      <c r="AL194" s="956" t="s">
        <v>1403</v>
      </c>
      <c r="AM194" s="781"/>
    </row>
    <row r="195" spans="4:46" ht="27.75" customHeight="1">
      <c r="D195" s="1">
        <v>37</v>
      </c>
      <c r="AB195" s="936" t="str">
        <f>"В структуре пассивов "&amp;Титульный!AC27&amp;" по состоянию на 31.12."&amp;PRD-2&amp;" года "</f>
        <v xml:space="preserve">В структуре пассивов МУП "Горэлектросети" по состоянию на 31.12.2024 года </v>
      </c>
      <c r="AC195" s="781"/>
      <c r="AD195" s="781"/>
      <c r="AE195" s="781"/>
      <c r="AF195" s="781"/>
      <c r="AG195" s="781"/>
      <c r="AH195" s="781"/>
      <c r="AI195" s="781"/>
      <c r="AJ195" s="781"/>
      <c r="AK195" s="781"/>
      <c r="AL195" s="781"/>
      <c r="AM195" s="781"/>
      <c r="AN195" s="781"/>
      <c r="AO195" s="781"/>
      <c r="AP195" s="781"/>
      <c r="AQ195" s="781"/>
      <c r="AR195" s="781"/>
      <c r="AS195" s="781"/>
      <c r="AT195" s="781"/>
    </row>
    <row r="196" spans="4:46" ht="17.25" customHeight="1">
      <c r="D196" s="1">
        <v>23</v>
      </c>
      <c r="AB196" s="892" t="s">
        <v>1408</v>
      </c>
      <c r="AC196" s="781"/>
      <c r="AD196" s="781"/>
      <c r="AE196" s="781"/>
      <c r="AF196" s="781"/>
      <c r="AG196" s="781"/>
      <c r="AH196" s="781"/>
      <c r="AI196" s="304" t="e">
        <f>#REF!</f>
        <v>#REF!</v>
      </c>
      <c r="AJ196" s="307" t="s">
        <v>1402</v>
      </c>
      <c r="AK196" s="308">
        <f>IFERROR(AI196/$AL$185,0)</f>
        <v>0</v>
      </c>
      <c r="AL196" s="956" t="s">
        <v>1403</v>
      </c>
      <c r="AM196" s="781"/>
    </row>
    <row r="197" spans="4:46" ht="17.25" customHeight="1">
      <c r="D197" s="1">
        <v>23</v>
      </c>
      <c r="AB197" s="892" t="s">
        <v>1409</v>
      </c>
      <c r="AC197" s="781"/>
      <c r="AD197" s="781"/>
      <c r="AE197" s="781"/>
      <c r="AF197" s="781"/>
      <c r="AG197" s="781"/>
      <c r="AH197" s="781"/>
      <c r="AI197" s="304" t="e">
        <f>AK146</f>
        <v>#REF!</v>
      </c>
      <c r="AJ197" s="307" t="s">
        <v>1402</v>
      </c>
      <c r="AK197" s="308">
        <f>IFERROR(AI197/$AL$185,0)</f>
        <v>0</v>
      </c>
      <c r="AL197" s="956" t="s">
        <v>1403</v>
      </c>
      <c r="AM197" s="781"/>
    </row>
    <row r="198" spans="4:46" ht="17.25" customHeight="1">
      <c r="D198" s="1">
        <v>23</v>
      </c>
      <c r="AB198" s="892" t="s">
        <v>1410</v>
      </c>
      <c r="AC198" s="781"/>
      <c r="AD198" s="781"/>
      <c r="AE198" s="781"/>
      <c r="AF198" s="781"/>
      <c r="AG198" s="781"/>
      <c r="AH198" s="781"/>
      <c r="AI198" s="304" t="e">
        <f>#REF!</f>
        <v>#REF!</v>
      </c>
      <c r="AJ198" s="307" t="s">
        <v>1402</v>
      </c>
      <c r="AK198" s="308">
        <f>IFERROR(AI198/$AL$185,0)</f>
        <v>0</v>
      </c>
      <c r="AL198" s="956" t="s">
        <v>1403</v>
      </c>
      <c r="AM198" s="781"/>
    </row>
    <row r="199" spans="4:46" ht="30" customHeight="1">
      <c r="D199" s="1">
        <v>40</v>
      </c>
      <c r="AB199" s="936" t="str">
        <f>"Показатели финансового состояния "&amp;Титульный!AC27&amp;" характеризуются следующими данными:"</f>
        <v>Показатели финансового состояния МУП "Горэлектросети" характеризуются следующими данными:</v>
      </c>
      <c r="AC199" s="781"/>
      <c r="AD199" s="781"/>
      <c r="AE199" s="781"/>
      <c r="AF199" s="781"/>
      <c r="AG199" s="781"/>
      <c r="AH199" s="781"/>
      <c r="AI199" s="781"/>
      <c r="AJ199" s="781"/>
      <c r="AK199" s="781"/>
      <c r="AL199" s="781"/>
      <c r="AM199" s="781"/>
      <c r="AN199" s="781"/>
      <c r="AO199" s="781"/>
      <c r="AP199" s="781"/>
      <c r="AQ199" s="781"/>
      <c r="AR199" s="781"/>
      <c r="AS199" s="781"/>
      <c r="AT199" s="781"/>
    </row>
    <row r="200" spans="4:46" ht="36" customHeight="1">
      <c r="D200" s="1">
        <v>48</v>
      </c>
      <c r="AB200" s="958" t="str">
        <f>"Коэффициент текущей ликвидности "&amp;Титульный!AC27&amp;" в "&amp;PRD-2&amp;" году равен"</f>
        <v>Коэффициент текущей ликвидности МУП "Горэлектросети" в 2024 году равен</v>
      </c>
      <c r="AC200" s="781"/>
      <c r="AD200" s="781"/>
      <c r="AE200" s="781"/>
      <c r="AF200" s="781"/>
      <c r="AG200" s="781"/>
      <c r="AH200" s="781"/>
      <c r="AI200" s="781"/>
      <c r="AJ200" s="304" t="e">
        <f>#REF!</f>
        <v>#REF!</v>
      </c>
      <c r="AK200" s="307" t="s">
        <v>1411</v>
      </c>
      <c r="AL200" s="309" t="e">
        <f>AJ200-2</f>
        <v>#REF!</v>
      </c>
      <c r="AM200" s="956" t="e">
        <f>IF(AL200&lt;0,"ниже нормы","выше нормы")</f>
        <v>#REF!</v>
      </c>
      <c r="AN200" s="781"/>
    </row>
    <row r="201" spans="4:46" ht="27.75" customHeight="1">
      <c r="D201" s="1">
        <v>37</v>
      </c>
      <c r="AB201" s="936" t="s">
        <v>1412</v>
      </c>
      <c r="AC201" s="781"/>
      <c r="AD201" s="781"/>
      <c r="AE201" s="781"/>
      <c r="AF201" s="781"/>
      <c r="AG201" s="781"/>
      <c r="AH201" s="781"/>
      <c r="AI201" s="781"/>
      <c r="AJ201" s="781"/>
      <c r="AK201" s="781"/>
      <c r="AL201" s="781"/>
      <c r="AM201" s="781"/>
      <c r="AN201" s="781"/>
      <c r="AO201" s="781"/>
      <c r="AP201" s="781"/>
      <c r="AQ201" s="781"/>
      <c r="AR201" s="781"/>
      <c r="AS201" s="781"/>
      <c r="AT201" s="781"/>
    </row>
    <row r="202" spans="4:46" ht="27.75" customHeight="1">
      <c r="D202" s="1">
        <v>37</v>
      </c>
      <c r="AB202" s="936" t="str">
        <f>"Это свидетельствует о трудностях в погашении организацией своих текущих обязательств. Анализ результатов расчёта свидетельствует о невозможности "&amp;Титульный!AC27&amp;" покрыть свои текущие обязательства оборотными активами"</f>
        <v>Это свидетельствует о трудностях в погашении организацией своих текущих обязательств. Анализ результатов расчёта свидетельствует о невозможности МУП "Горэлектросети" покрыть свои текущие обязательства оборотными активами</v>
      </c>
      <c r="AC202" s="781"/>
      <c r="AD202" s="781"/>
      <c r="AE202" s="781"/>
      <c r="AF202" s="781"/>
      <c r="AG202" s="781"/>
      <c r="AH202" s="781"/>
      <c r="AI202" s="781"/>
      <c r="AJ202" s="781"/>
      <c r="AK202" s="781"/>
      <c r="AL202" s="781"/>
      <c r="AM202" s="781"/>
      <c r="AN202" s="781"/>
      <c r="AO202" s="781"/>
      <c r="AP202" s="781"/>
      <c r="AQ202" s="781"/>
      <c r="AR202" s="781"/>
      <c r="AS202" s="781"/>
      <c r="AT202" s="781"/>
    </row>
    <row r="203" spans="4:46" ht="24" customHeight="1">
      <c r="D203" s="1">
        <v>32</v>
      </c>
      <c r="AB203" s="940" t="str">
        <f>"Коэффициент финансовой автономии в "&amp;PRD-2&amp;" году равен"</f>
        <v>Коэффициент финансовой автономии в 2024 году равен</v>
      </c>
      <c r="AC203" s="781"/>
      <c r="AD203" s="781"/>
      <c r="AE203" s="781"/>
      <c r="AF203" s="781"/>
      <c r="AG203" s="781"/>
      <c r="AH203" s="781"/>
      <c r="AI203" s="781"/>
      <c r="AJ203" s="304" t="e">
        <f>#REF!</f>
        <v>#REF!</v>
      </c>
    </row>
    <row r="204" spans="4:46" ht="27.75" customHeight="1">
      <c r="D204" s="1">
        <v>37</v>
      </c>
      <c r="AB204" s="936" t="s">
        <v>1413</v>
      </c>
      <c r="AC204" s="781"/>
      <c r="AD204" s="781"/>
      <c r="AE204" s="781"/>
      <c r="AF204" s="781"/>
      <c r="AG204" s="781"/>
      <c r="AH204" s="781"/>
      <c r="AI204" s="781"/>
      <c r="AJ204" s="781"/>
      <c r="AK204" s="781"/>
      <c r="AL204" s="781"/>
      <c r="AM204" s="781"/>
      <c r="AN204" s="781"/>
      <c r="AO204" s="781"/>
      <c r="AP204" s="781"/>
      <c r="AQ204" s="781"/>
      <c r="AR204" s="781"/>
      <c r="AS204" s="781"/>
      <c r="AT204" s="781"/>
    </row>
    <row r="205" spans="4:46" ht="24" customHeight="1">
      <c r="D205" s="1">
        <v>32</v>
      </c>
      <c r="AB205" s="940" t="str">
        <f>"Коэффициент коэффициент финансовой устойчивости "&amp;PRD-2&amp;" году равен"</f>
        <v>Коэффициент коэффициент финансовой устойчивости 2024 году равен</v>
      </c>
      <c r="AC205" s="781"/>
      <c r="AD205" s="781"/>
      <c r="AE205" s="781"/>
      <c r="AF205" s="781"/>
      <c r="AG205" s="781"/>
      <c r="AH205" s="781"/>
      <c r="AI205" s="781"/>
      <c r="AJ205" s="304" t="e">
        <f>#REF!</f>
        <v>#REF!</v>
      </c>
    </row>
    <row r="206" spans="4:46" ht="27.75" customHeight="1">
      <c r="D206" s="1">
        <v>37</v>
      </c>
      <c r="AB206" s="940" t="s">
        <v>1414</v>
      </c>
      <c r="AC206" s="781"/>
      <c r="AD206" s="781"/>
      <c r="AE206" s="781"/>
      <c r="AF206" s="781"/>
      <c r="AG206" s="781"/>
      <c r="AH206" s="781"/>
      <c r="AI206" s="781"/>
      <c r="AJ206" s="304"/>
    </row>
    <row r="207" spans="4:46" ht="33.75" customHeight="1">
      <c r="D207" s="1">
        <v>45</v>
      </c>
      <c r="AB207" s="936" t="s">
        <v>1630</v>
      </c>
      <c r="AC207" s="781"/>
      <c r="AD207" s="781"/>
      <c r="AE207" s="781"/>
      <c r="AF207" s="781"/>
      <c r="AG207" s="781"/>
      <c r="AH207" s="781"/>
      <c r="AI207" s="781"/>
      <c r="AJ207" s="781"/>
      <c r="AK207" s="781"/>
      <c r="AL207" s="781"/>
      <c r="AM207" s="781"/>
      <c r="AN207" s="781"/>
      <c r="AO207" s="781"/>
      <c r="AP207" s="781"/>
      <c r="AQ207" s="781"/>
      <c r="AR207" s="781"/>
      <c r="AS207" s="781"/>
      <c r="AT207" s="781"/>
    </row>
    <row r="208" spans="4:46" ht="24" customHeight="1">
      <c r="D208" s="1">
        <v>32</v>
      </c>
      <c r="AB208" s="940" t="s">
        <v>1415</v>
      </c>
      <c r="AC208" s="781"/>
      <c r="AD208" s="781"/>
      <c r="AE208" s="781"/>
      <c r="AF208" s="781"/>
      <c r="AG208" s="781"/>
      <c r="AH208" s="781"/>
      <c r="AI208" s="781"/>
      <c r="AJ208" s="304">
        <f>AK192</f>
        <v>0</v>
      </c>
    </row>
    <row r="209" spans="4:46" ht="31.5" customHeight="1">
      <c r="D209" s="1">
        <v>42</v>
      </c>
      <c r="AB209" s="892" t="s">
        <v>1416</v>
      </c>
      <c r="AC209" s="781"/>
      <c r="AD209" s="781"/>
      <c r="AE209" s="781"/>
      <c r="AF209" s="781"/>
      <c r="AG209" s="781"/>
      <c r="AH209" s="781"/>
      <c r="AI209" s="781"/>
      <c r="AJ209" s="781"/>
      <c r="AK209" s="781"/>
      <c r="AL209" s="781"/>
      <c r="AM209" s="781"/>
      <c r="AN209" s="781"/>
      <c r="AO209" s="781"/>
      <c r="AP209" s="781"/>
      <c r="AQ209" s="781"/>
      <c r="AR209" s="781"/>
      <c r="AS209" s="781"/>
      <c r="AT209" s="781"/>
    </row>
    <row r="210" spans="4:46" ht="17.25" customHeight="1">
      <c r="D210" s="1">
        <v>23</v>
      </c>
      <c r="AB210" s="894" t="e">
        <f>"Общая рентабельность "&amp;AG27&amp;" за "&amp;AK136&amp;" год составила "&amp;ROUND(#REF!*100,2)&amp;"%. За "&amp;#REF!&amp;" год – "&amp;ROUND(#REF!*100,2)&amp;"%. "</f>
        <v>#REF!</v>
      </c>
      <c r="AC210" s="894"/>
      <c r="AD210" s="894"/>
      <c r="AE210" s="894"/>
      <c r="AF210" s="894"/>
      <c r="AG210" s="894"/>
      <c r="AH210" s="894"/>
      <c r="AI210" s="894"/>
      <c r="AJ210" s="894"/>
      <c r="AK210" s="894"/>
      <c r="AL210" s="894"/>
      <c r="AM210" s="894"/>
      <c r="AN210" s="894"/>
      <c r="AO210" s="894"/>
      <c r="AP210" s="894"/>
      <c r="AQ210" s="894"/>
      <c r="AR210" s="894"/>
      <c r="AS210" s="894"/>
      <c r="AT210" s="894"/>
    </row>
    <row r="211" spans="4:46" ht="17.25" customHeight="1">
      <c r="D211" s="1">
        <v>23</v>
      </c>
      <c r="AB211" s="892" t="e">
        <f>IF(#REF!&lt;#REF!,"Наблюдается увеличение показателя. Нормальным считается любое положительное значение.","Наблюдается снижение показателя. Нормальным считается любое положительное значение.")</f>
        <v>#REF!</v>
      </c>
      <c r="AC211" s="781"/>
      <c r="AD211" s="781"/>
      <c r="AE211" s="781"/>
      <c r="AF211" s="781"/>
      <c r="AG211" s="781"/>
      <c r="AH211" s="781"/>
      <c r="AI211" s="781"/>
      <c r="AJ211" s="781"/>
      <c r="AK211" s="781"/>
      <c r="AL211" s="781"/>
      <c r="AM211" s="781"/>
      <c r="AN211" s="781"/>
      <c r="AO211" s="781"/>
      <c r="AP211" s="781"/>
      <c r="AQ211" s="781"/>
      <c r="AR211" s="781"/>
      <c r="AS211" s="781"/>
      <c r="AT211" s="781"/>
    </row>
    <row r="212" spans="4:46" ht="30" customHeight="1">
      <c r="D212" s="1">
        <v>40</v>
      </c>
      <c r="AB212" s="960"/>
      <c r="AC212" s="961"/>
      <c r="AD212" s="961"/>
      <c r="AE212" s="961"/>
      <c r="AF212" s="961"/>
      <c r="AG212" s="961"/>
      <c r="AH212" s="961"/>
      <c r="AI212" s="961"/>
      <c r="AJ212" s="961"/>
      <c r="AK212" s="961"/>
      <c r="AL212" s="961"/>
      <c r="AM212" s="961"/>
      <c r="AN212" s="961"/>
      <c r="AO212" s="961"/>
      <c r="AP212" s="961"/>
      <c r="AQ212" s="961"/>
      <c r="AR212" s="961"/>
      <c r="AS212" s="961"/>
      <c r="AT212" s="962"/>
    </row>
    <row r="213" spans="4:46" ht="30" customHeight="1">
      <c r="D213" s="1">
        <v>40</v>
      </c>
      <c r="AB213" s="960"/>
      <c r="AC213" s="961"/>
      <c r="AD213" s="961"/>
      <c r="AE213" s="961"/>
      <c r="AF213" s="961"/>
      <c r="AG213" s="961"/>
      <c r="AH213" s="961"/>
      <c r="AI213" s="961"/>
      <c r="AJ213" s="961"/>
      <c r="AK213" s="961"/>
      <c r="AL213" s="961"/>
      <c r="AM213" s="961"/>
      <c r="AN213" s="961"/>
      <c r="AO213" s="961"/>
      <c r="AP213" s="961"/>
      <c r="AQ213" s="961"/>
      <c r="AR213" s="961"/>
      <c r="AS213" s="961"/>
      <c r="AT213" s="962"/>
    </row>
    <row r="214" spans="4:46" ht="13.5" customHeight="1">
      <c r="D214">
        <v>18</v>
      </c>
      <c r="AB214" s="781"/>
      <c r="AC214" s="781"/>
      <c r="AD214" s="781"/>
      <c r="AE214" s="781"/>
      <c r="AF214" s="781"/>
      <c r="AG214" s="781"/>
      <c r="AH214" s="781"/>
      <c r="AI214" s="781"/>
      <c r="AJ214" s="781"/>
      <c r="AK214" s="781"/>
      <c r="AL214" s="781"/>
      <c r="AM214" s="781"/>
      <c r="AN214" s="781"/>
      <c r="AO214" s="781"/>
      <c r="AP214" s="781"/>
      <c r="AQ214" s="781"/>
      <c r="AR214" s="781"/>
      <c r="AS214" s="781"/>
      <c r="AT214" s="781"/>
    </row>
    <row r="215" spans="4:46" ht="13.5" customHeight="1">
      <c r="D215">
        <v>18</v>
      </c>
    </row>
    <row r="216" spans="4:46" ht="33.75" customHeight="1">
      <c r="D216" s="1">
        <v>45</v>
      </c>
      <c r="AB216" s="958" t="s">
        <v>1417</v>
      </c>
      <c r="AC216" s="781"/>
      <c r="AD216" s="781"/>
      <c r="AE216" s="781"/>
      <c r="AF216" s="781"/>
      <c r="AG216" s="781"/>
      <c r="AH216" s="781"/>
      <c r="AI216" s="781"/>
      <c r="AJ216" s="781"/>
      <c r="AK216" s="781"/>
      <c r="AL216" s="781"/>
      <c r="AM216" s="781"/>
      <c r="AN216" s="781"/>
      <c r="AO216" s="781"/>
      <c r="AP216" s="781"/>
      <c r="AQ216" s="781"/>
    </row>
    <row r="217" spans="4:46" ht="13.5" customHeight="1">
      <c r="D217" s="1">
        <v>18</v>
      </c>
    </row>
    <row r="218" spans="4:46" ht="59.25" customHeight="1">
      <c r="D218" s="1">
        <v>79</v>
      </c>
      <c r="AB218" s="311" t="s">
        <v>1327</v>
      </c>
      <c r="AC218" s="966" t="s">
        <v>1418</v>
      </c>
      <c r="AD218" s="966"/>
      <c r="AE218" s="966"/>
      <c r="AF218" s="966"/>
      <c r="AG218" s="966"/>
      <c r="AH218" s="966"/>
      <c r="AI218" s="966"/>
      <c r="AJ218" s="966"/>
      <c r="AK218" s="966"/>
      <c r="AL218" s="966"/>
      <c r="AM218" s="966"/>
      <c r="AN218" s="966"/>
      <c r="AO218" s="966"/>
      <c r="AP218" s="967" t="s">
        <v>1419</v>
      </c>
      <c r="AQ218" s="968"/>
    </row>
    <row r="219" spans="4:46" ht="37.5" customHeight="1">
      <c r="D219" s="1">
        <v>50</v>
      </c>
      <c r="AB219" s="312">
        <v>1</v>
      </c>
      <c r="AC219" s="964" t="s">
        <v>1420</v>
      </c>
      <c r="AD219" s="964"/>
      <c r="AE219" s="964"/>
      <c r="AF219" s="964"/>
      <c r="AG219" s="964"/>
      <c r="AH219" s="964"/>
      <c r="AI219" s="964"/>
      <c r="AJ219" s="964"/>
      <c r="AK219" s="964"/>
      <c r="AL219" s="964"/>
      <c r="AM219" s="964"/>
      <c r="AN219" s="964"/>
      <c r="AO219" s="964"/>
      <c r="AP219" s="964"/>
      <c r="AQ219" s="964"/>
    </row>
    <row r="220" spans="4:46" ht="66" customHeight="1">
      <c r="D220" s="1">
        <v>88</v>
      </c>
      <c r="AB220" s="312">
        <v>2</v>
      </c>
      <c r="AC220" s="964" t="s">
        <v>1421</v>
      </c>
      <c r="AD220" s="964"/>
      <c r="AE220" s="964"/>
      <c r="AF220" s="964"/>
      <c r="AG220" s="964"/>
      <c r="AH220" s="964"/>
      <c r="AI220" s="964"/>
      <c r="AJ220" s="964"/>
      <c r="AK220" s="964"/>
      <c r="AL220" s="964"/>
      <c r="AM220" s="964"/>
      <c r="AN220" s="964"/>
      <c r="AO220" s="964"/>
      <c r="AP220" s="964"/>
      <c r="AQ220" s="964"/>
    </row>
    <row r="221" spans="4:46" ht="13.5" customHeight="1">
      <c r="D221" s="1">
        <v>18</v>
      </c>
      <c r="AB221" s="313" t="s">
        <v>632</v>
      </c>
      <c r="AC221" s="964" t="s">
        <v>1422</v>
      </c>
      <c r="AD221" s="964"/>
      <c r="AE221" s="964"/>
      <c r="AF221" s="964"/>
      <c r="AG221" s="964"/>
      <c r="AH221" s="964"/>
      <c r="AI221" s="964"/>
      <c r="AJ221" s="964"/>
      <c r="AK221" s="964"/>
      <c r="AL221" s="964"/>
      <c r="AM221" s="964"/>
      <c r="AN221" s="964"/>
      <c r="AO221" s="964"/>
      <c r="AP221" s="964"/>
      <c r="AQ221" s="964"/>
    </row>
    <row r="222" spans="4:46" ht="13.5" customHeight="1">
      <c r="D222" s="1">
        <v>18</v>
      </c>
      <c r="AB222" s="313" t="s">
        <v>762</v>
      </c>
      <c r="AC222" s="964" t="s">
        <v>1423</v>
      </c>
      <c r="AD222" s="964"/>
      <c r="AE222" s="964"/>
      <c r="AF222" s="964"/>
      <c r="AG222" s="964"/>
      <c r="AH222" s="964"/>
      <c r="AI222" s="964"/>
      <c r="AJ222" s="964"/>
      <c r="AK222" s="964"/>
      <c r="AL222" s="964"/>
      <c r="AM222" s="964"/>
      <c r="AN222" s="964"/>
      <c r="AO222" s="964"/>
      <c r="AP222" s="964"/>
      <c r="AQ222" s="964"/>
    </row>
    <row r="223" spans="4:46" ht="13.5" customHeight="1">
      <c r="D223" s="1">
        <v>18</v>
      </c>
      <c r="AB223" s="313" t="s">
        <v>763</v>
      </c>
      <c r="AC223" s="964" t="s">
        <v>1424</v>
      </c>
      <c r="AD223" s="964"/>
      <c r="AE223" s="964"/>
      <c r="AF223" s="964"/>
      <c r="AG223" s="964"/>
      <c r="AH223" s="964"/>
      <c r="AI223" s="964"/>
      <c r="AJ223" s="964"/>
      <c r="AK223" s="964"/>
      <c r="AL223" s="964"/>
      <c r="AM223" s="964"/>
      <c r="AN223" s="964"/>
      <c r="AO223" s="964"/>
      <c r="AP223" s="964"/>
      <c r="AQ223" s="964"/>
    </row>
    <row r="224" spans="4:46" ht="13.5" customHeight="1">
      <c r="D224" s="1">
        <v>18</v>
      </c>
      <c r="AB224" s="313" t="s">
        <v>765</v>
      </c>
      <c r="AC224" s="964" t="s">
        <v>1425</v>
      </c>
      <c r="AD224" s="964"/>
      <c r="AE224" s="964"/>
      <c r="AF224" s="964"/>
      <c r="AG224" s="964"/>
      <c r="AH224" s="964"/>
      <c r="AI224" s="964"/>
      <c r="AJ224" s="964"/>
      <c r="AK224" s="964"/>
      <c r="AL224" s="964"/>
      <c r="AM224" s="964"/>
      <c r="AN224" s="964"/>
      <c r="AO224" s="964"/>
      <c r="AP224" s="964"/>
      <c r="AQ224" s="964"/>
    </row>
    <row r="225" spans="4:46" ht="75" customHeight="1">
      <c r="D225" s="1">
        <v>100</v>
      </c>
      <c r="AB225" s="312">
        <v>3</v>
      </c>
      <c r="AC225" s="964" t="s">
        <v>1426</v>
      </c>
      <c r="AD225" s="964"/>
      <c r="AE225" s="964"/>
      <c r="AF225" s="964"/>
      <c r="AG225" s="964"/>
      <c r="AH225" s="964"/>
      <c r="AI225" s="964"/>
      <c r="AJ225" s="964"/>
      <c r="AK225" s="964"/>
      <c r="AL225" s="964"/>
      <c r="AM225" s="964"/>
      <c r="AN225" s="964"/>
      <c r="AO225" s="964"/>
      <c r="AP225" s="964"/>
      <c r="AQ225" s="964"/>
    </row>
    <row r="226" spans="4:46" ht="13.5" customHeight="1">
      <c r="D226" s="1">
        <v>18</v>
      </c>
      <c r="AB226" s="312">
        <v>4</v>
      </c>
      <c r="AC226" s="964" t="s">
        <v>1427</v>
      </c>
      <c r="AD226" s="964"/>
      <c r="AE226" s="964"/>
      <c r="AF226" s="964"/>
      <c r="AG226" s="964"/>
      <c r="AH226" s="964"/>
      <c r="AI226" s="964"/>
      <c r="AJ226" s="964"/>
      <c r="AK226" s="964"/>
      <c r="AL226" s="964"/>
      <c r="AM226" s="964"/>
      <c r="AN226" s="964"/>
      <c r="AO226" s="964"/>
      <c r="AP226" s="964" t="str">
        <f>Титульный!AC62</f>
        <v>8-(388-22)-6-22-93</v>
      </c>
      <c r="AQ226" s="963"/>
    </row>
    <row r="227" spans="4:46" ht="13.5" customHeight="1">
      <c r="D227" s="1">
        <v>18</v>
      </c>
      <c r="AB227" s="312">
        <v>5</v>
      </c>
      <c r="AC227" s="964" t="s">
        <v>1428</v>
      </c>
      <c r="AD227" s="964"/>
      <c r="AE227" s="964"/>
      <c r="AF227" s="964"/>
      <c r="AG227" s="964"/>
      <c r="AH227" s="964"/>
      <c r="AI227" s="964"/>
      <c r="AJ227" s="964"/>
      <c r="AK227" s="964"/>
      <c r="AL227" s="964"/>
      <c r="AM227" s="964"/>
      <c r="AN227" s="964"/>
      <c r="AO227" s="964"/>
      <c r="AP227" s="969" t="str">
        <f>Титульный!AC64</f>
        <v>http://www.g-ages.ru</v>
      </c>
      <c r="AQ227" s="963"/>
    </row>
    <row r="228" spans="4:46" ht="13.5" customHeight="1">
      <c r="D228" s="1">
        <v>18</v>
      </c>
    </row>
    <row r="229" spans="4:46" ht="33.75" customHeight="1">
      <c r="D229" s="1">
        <v>45</v>
      </c>
      <c r="AB229" s="958" t="s">
        <v>1631</v>
      </c>
      <c r="AC229" s="781"/>
      <c r="AD229" s="781"/>
      <c r="AE229" s="781"/>
      <c r="AF229" s="781"/>
      <c r="AG229" s="781"/>
      <c r="AH229" s="781"/>
      <c r="AI229" s="781"/>
      <c r="AJ229" s="781"/>
      <c r="AK229" s="781"/>
      <c r="AL229" s="781"/>
      <c r="AM229" s="781"/>
      <c r="AN229" s="781"/>
      <c r="AO229" s="781"/>
      <c r="AP229" s="781"/>
      <c r="AQ229" s="781"/>
    </row>
    <row r="230" spans="4:46" ht="114" customHeight="1">
      <c r="D230" s="1">
        <v>152</v>
      </c>
      <c r="AB230" s="894" t="s">
        <v>1632</v>
      </c>
      <c r="AC230" s="894"/>
      <c r="AD230" s="894"/>
      <c r="AE230" s="894"/>
      <c r="AF230" s="894"/>
      <c r="AG230" s="894"/>
      <c r="AH230" s="894"/>
      <c r="AI230" s="894"/>
      <c r="AJ230" s="894"/>
      <c r="AK230" s="894"/>
      <c r="AL230" s="894"/>
      <c r="AM230" s="894"/>
      <c r="AN230" s="894"/>
      <c r="AO230" s="894"/>
      <c r="AP230" s="894"/>
      <c r="AQ230" s="894"/>
      <c r="AR230" s="894"/>
      <c r="AS230" s="894"/>
      <c r="AT230" s="894"/>
    </row>
    <row r="231" spans="4:46" ht="21.75" customHeight="1">
      <c r="D231" s="1">
        <v>29</v>
      </c>
      <c r="AB231" s="958" t="s">
        <v>1633</v>
      </c>
      <c r="AC231" s="781"/>
      <c r="AD231" s="781"/>
      <c r="AE231" s="781"/>
      <c r="AF231" s="781"/>
      <c r="AG231" s="781"/>
      <c r="AH231" s="781"/>
      <c r="AI231" s="781"/>
      <c r="AJ231" s="781"/>
      <c r="AK231" s="781"/>
      <c r="AL231" s="781"/>
      <c r="AM231" s="781"/>
      <c r="AN231" s="781"/>
      <c r="AO231" s="781"/>
      <c r="AP231" s="781"/>
      <c r="AQ231" s="781"/>
    </row>
    <row r="232" spans="4:46" ht="35.25" customHeight="1">
      <c r="D232" s="1">
        <v>47</v>
      </c>
      <c r="AB232" s="896" t="str">
        <f>"Индексы потребительских цен на "&amp;Титульный!AC47&amp;" годы (далее – прогнозные индексы) в соответствии с Прогнозом социально – экономического развития Российской Федерации, а также в соответствии с пунктом 7 Методических указаний № 98-э были приняты в следующих размерах:"</f>
        <v>Индексы потребительских цен на 2026-2030 годы (далее – прогнозные индексы) в соответствии с Прогнозом социально – экономического развития Российской Федерации, а также в соответствии с пунктом 7 Методических указаний № 98-э были приняты в следующих размерах:</v>
      </c>
      <c r="AC232" s="896"/>
      <c r="AD232" s="896"/>
      <c r="AE232" s="896"/>
      <c r="AF232" s="896"/>
      <c r="AG232" s="896"/>
      <c r="AH232" s="896"/>
      <c r="AI232" s="896"/>
      <c r="AJ232" s="896"/>
      <c r="AK232" s="896"/>
      <c r="AL232" s="896"/>
      <c r="AM232" s="896"/>
      <c r="AN232" s="896"/>
      <c r="AO232" s="896"/>
      <c r="AP232" s="896"/>
      <c r="AQ232" s="896"/>
    </row>
    <row r="233" spans="4:46" ht="17.25" customHeight="1">
      <c r="D233" s="1">
        <v>23</v>
      </c>
      <c r="AB233" s="892" t="str">
        <f>"на "&amp;Титульный!$AC$40&amp;" – "</f>
        <v xml:space="preserve">на 2026 – </v>
      </c>
      <c r="AC233" s="781"/>
      <c r="AD233" s="387">
        <f>IFERROR(INDEX(#REF!,MATCH(AF233,#REF!,0)),0)</f>
        <v>0</v>
      </c>
      <c r="AF233" s="388">
        <f>Титульный!$AC$40</f>
        <v>2026</v>
      </c>
    </row>
    <row r="234" spans="4:46" ht="17.25" customHeight="1">
      <c r="D234" s="1">
        <v>23</v>
      </c>
      <c r="AB234" s="892" t="str">
        <f>"на "&amp;Титульный!$AC$40+1&amp;" – "</f>
        <v xml:space="preserve">на 2027 – </v>
      </c>
      <c r="AC234" s="781"/>
      <c r="AD234" s="387">
        <f>IFERROR(INDEX(#REF!,MATCH(AF234,#REF!,0)),0)</f>
        <v>0</v>
      </c>
      <c r="AF234" s="388">
        <f>Титульный!$AC$40+1</f>
        <v>2027</v>
      </c>
    </row>
    <row r="235" spans="4:46" ht="17.25" customHeight="1">
      <c r="D235" s="1">
        <v>23</v>
      </c>
      <c r="AB235" s="892" t="str">
        <f>"на "&amp;Титульный!$AC$40+2&amp;" – "</f>
        <v xml:space="preserve">на 2028 – </v>
      </c>
      <c r="AC235" s="781"/>
      <c r="AD235" s="387">
        <f>IFERROR(INDEX(#REF!,MATCH(AF235,#REF!,0)),0)</f>
        <v>0</v>
      </c>
      <c r="AF235" s="388">
        <f>Титульный!$AC$40+2</f>
        <v>2028</v>
      </c>
    </row>
    <row r="236" spans="4:46" ht="17.25" customHeight="1">
      <c r="D236" s="1">
        <v>23</v>
      </c>
      <c r="AB236" s="892" t="str">
        <f>"на "&amp;Титульный!$AC$40+3&amp;" – "</f>
        <v xml:space="preserve">на 2029 – </v>
      </c>
      <c r="AC236" s="781"/>
      <c r="AD236" s="387">
        <f>IFERROR(INDEX(#REF!,MATCH(AF236,#REF!,0)),0)</f>
        <v>0</v>
      </c>
      <c r="AF236" s="388">
        <f>Титульный!$AC$40+3</f>
        <v>2029</v>
      </c>
    </row>
    <row r="237" spans="4:46" ht="17.25" customHeight="1">
      <c r="D237" s="1">
        <v>23</v>
      </c>
      <c r="AB237" s="892" t="str">
        <f>"на "&amp;Титульный!$AC$40+4&amp;" – "</f>
        <v xml:space="preserve">на 2030 – </v>
      </c>
      <c r="AC237" s="781"/>
      <c r="AD237" s="387">
        <f>IFERROR(INDEX(#REF!,MATCH(AF237,#REF!,0)),0)</f>
        <v>0</v>
      </c>
      <c r="AF237" s="388">
        <f>Титульный!$AC$40+4</f>
        <v>2030</v>
      </c>
    </row>
    <row r="238" spans="4:46" ht="55.5" customHeight="1">
      <c r="D238" s="1">
        <v>74</v>
      </c>
      <c r="AB238" s="896" t="e">
        <f>"Индекс потребительских цен на "&amp;Титульный!AC34&amp;" год (далее – прогнозные индексы) 
в соответствии с Прогнозом социально – экономического развития Российской Федерации на "&amp;Титульный!AC34&amp;" год, а также в соответствии с пунктом 7 Методических указаний № 98-э, принят в размере – "&amp;#REF!*100&amp;" %."</f>
        <v>#REF!</v>
      </c>
      <c r="AC238" s="896"/>
      <c r="AD238" s="896"/>
      <c r="AE238" s="896"/>
      <c r="AF238" s="896"/>
      <c r="AG238" s="896"/>
      <c r="AH238" s="896"/>
      <c r="AI238" s="896"/>
      <c r="AJ238" s="896"/>
      <c r="AK238" s="896"/>
      <c r="AL238" s="896"/>
      <c r="AM238" s="896"/>
      <c r="AN238" s="896"/>
      <c r="AO238" s="896"/>
      <c r="AP238" s="896"/>
      <c r="AQ238" s="896"/>
    </row>
    <row r="239" spans="4:46" ht="21.75" customHeight="1">
      <c r="D239" s="1">
        <v>29</v>
      </c>
      <c r="AB239" s="958" t="s">
        <v>1634</v>
      </c>
      <c r="AC239" s="781"/>
      <c r="AD239" s="781"/>
      <c r="AE239" s="781"/>
      <c r="AF239" s="781"/>
      <c r="AG239" s="781"/>
      <c r="AH239" s="781"/>
      <c r="AI239" s="781"/>
      <c r="AJ239" s="781"/>
      <c r="AK239" s="781"/>
      <c r="AL239" s="781"/>
      <c r="AM239" s="781"/>
      <c r="AN239" s="781"/>
      <c r="AO239" s="781"/>
      <c r="AP239" s="781"/>
      <c r="AQ239" s="781"/>
    </row>
    <row r="240" spans="4:46" ht="21.75" customHeight="1">
      <c r="D240" s="1">
        <v>29</v>
      </c>
      <c r="AB240" s="896" t="str">
        <f>"Количество активов, планово определенное на долгосрочный период "&amp;Титульный!AC47&amp;" годов составило, в том числе:"</f>
        <v>Количество активов, планово определенное на долгосрочный период 2026-2030 годов составило, в том числе:</v>
      </c>
      <c r="AC240" s="896"/>
      <c r="AD240" s="896"/>
      <c r="AE240" s="896"/>
      <c r="AF240" s="896"/>
      <c r="AG240" s="896"/>
      <c r="AH240" s="896"/>
      <c r="AI240" s="896"/>
      <c r="AJ240" s="896"/>
      <c r="AK240" s="896"/>
      <c r="AL240" s="896"/>
      <c r="AM240" s="896"/>
      <c r="AN240" s="896"/>
      <c r="AO240" s="896"/>
      <c r="AP240" s="896"/>
      <c r="AQ240" s="896"/>
    </row>
    <row r="241" spans="4:44" ht="21.75" customHeight="1">
      <c r="D241" s="1">
        <v>29</v>
      </c>
      <c r="AB241" s="892" t="str">
        <f>"на "&amp;Титульный!$AC$40&amp;" – "</f>
        <v xml:space="preserve">на 2026 – </v>
      </c>
      <c r="AC241" s="781"/>
      <c r="AD241" s="389">
        <f>IFERROR(INDEX(#REF!,MATCH(AF241,#REF!,0)),0)</f>
        <v>0</v>
      </c>
      <c r="AF241" s="388">
        <f>Титульный!$AC$40</f>
        <v>2026</v>
      </c>
    </row>
    <row r="242" spans="4:44" ht="21.75" customHeight="1">
      <c r="D242" s="1">
        <v>29</v>
      </c>
      <c r="AB242" s="892" t="str">
        <f>"на "&amp;Титульный!$AC$40+1&amp;" – "</f>
        <v xml:space="preserve">на 2027 – </v>
      </c>
      <c r="AC242" s="781"/>
      <c r="AD242" s="389">
        <f>IFERROR(INDEX(#REF!,MATCH(AF242,#REF!,0)),0)</f>
        <v>0</v>
      </c>
      <c r="AF242" s="388">
        <f>Титульный!$AC$40+1</f>
        <v>2027</v>
      </c>
    </row>
    <row r="243" spans="4:44" ht="21.75" customHeight="1">
      <c r="D243" s="1">
        <v>29</v>
      </c>
      <c r="AB243" s="892" t="str">
        <f>"на "&amp;Титульный!$AC$40+2&amp;" – "</f>
        <v xml:space="preserve">на 2028 – </v>
      </c>
      <c r="AC243" s="781"/>
      <c r="AD243" s="389">
        <f>IFERROR(INDEX(#REF!,MATCH(AF243,#REF!,0)),0)</f>
        <v>0</v>
      </c>
      <c r="AF243" s="388">
        <f>Титульный!$AC$40+2</f>
        <v>2028</v>
      </c>
    </row>
    <row r="244" spans="4:44" ht="19.5" customHeight="1">
      <c r="D244" s="1">
        <v>26</v>
      </c>
      <c r="AB244" s="892" t="str">
        <f>"на "&amp;Титульный!$AC$40+3&amp;" – "</f>
        <v xml:space="preserve">на 2029 – </v>
      </c>
      <c r="AC244" s="781"/>
      <c r="AD244" s="389">
        <f>IFERROR(INDEX(#REF!,MATCH(AF244,#REF!,0)),0)</f>
        <v>0</v>
      </c>
      <c r="AF244" s="388">
        <f>Титульный!$AC$40+3</f>
        <v>2029</v>
      </c>
    </row>
    <row r="245" spans="4:44" ht="19.5" customHeight="1">
      <c r="D245" s="1">
        <v>26</v>
      </c>
      <c r="AB245" s="892" t="str">
        <f>"на "&amp;Титульный!$AC$40+4&amp;" – "</f>
        <v xml:space="preserve">на 2030 – </v>
      </c>
      <c r="AC245" s="781"/>
      <c r="AD245" s="389">
        <f>IFERROR(INDEX(#REF!,MATCH(AF245,#REF!,0)),0)</f>
        <v>0</v>
      </c>
      <c r="AF245" s="388">
        <f>Титульный!$AC$40+4</f>
        <v>2030</v>
      </c>
    </row>
    <row r="246" spans="4:44" ht="21.75" customHeight="1">
      <c r="D246" s="1">
        <v>29</v>
      </c>
      <c r="AB246" s="892" t="e">
        <f>"ТСО предложено принять количество активов в размере "&amp;#REF!&amp;" условных единиц."</f>
        <v>#REF!</v>
      </c>
      <c r="AC246" s="781"/>
      <c r="AD246" s="781"/>
      <c r="AE246" s="781"/>
      <c r="AF246" s="781"/>
      <c r="AG246" s="781"/>
      <c r="AH246" s="781"/>
      <c r="AI246" s="781"/>
      <c r="AJ246" s="781"/>
      <c r="AK246" s="781"/>
      <c r="AL246" s="781"/>
      <c r="AM246" s="781"/>
      <c r="AN246" s="781"/>
      <c r="AO246" s="781"/>
      <c r="AP246" s="781"/>
      <c r="AQ246" s="781"/>
    </row>
    <row r="247" spans="4:44" ht="21.75" customHeight="1">
      <c r="D247" s="1">
        <v>29</v>
      </c>
      <c r="AB247" s="896" t="e">
        <f>"Количество активов на "&amp;Титульный!AC34&amp;" год определено в размере "&amp;#REF!&amp;" условныхединиц."</f>
        <v>#REF!</v>
      </c>
      <c r="AC247" s="896"/>
      <c r="AD247" s="896"/>
      <c r="AE247" s="896"/>
      <c r="AF247" s="896"/>
      <c r="AG247" s="896"/>
      <c r="AH247" s="896"/>
      <c r="AI247" s="896"/>
      <c r="AJ247" s="896"/>
      <c r="AK247" s="896"/>
      <c r="AL247" s="896"/>
      <c r="AM247" s="896"/>
      <c r="AN247" s="896"/>
      <c r="AO247" s="896"/>
      <c r="AP247" s="896"/>
      <c r="AQ247" s="896"/>
    </row>
    <row r="248" spans="4:44" ht="36" customHeight="1">
      <c r="D248" s="1">
        <v>48</v>
      </c>
      <c r="AB248" s="896" t="e">
        <f>IF(#REF!=#REF!,"Состав оборудования "&amp;AG27&amp;" на "&amp;PRD&amp;" год не изменён по сравнению с "&amp;PRD-1&amp;" годом","Состав оборудования "&amp;AG27&amp;" на "&amp;PRD&amp;" год изменён по сравнению с "&amp;PRD-1&amp;" годом в связи с ")</f>
        <v>#REF!</v>
      </c>
      <c r="AC248" s="896"/>
      <c r="AD248" s="896"/>
      <c r="AE248" s="896"/>
      <c r="AF248" s="896"/>
      <c r="AG248" s="896"/>
      <c r="AH248" s="896"/>
      <c r="AI248" s="899"/>
      <c r="AJ248" s="977"/>
      <c r="AK248" s="978"/>
      <c r="AL248" s="978"/>
      <c r="AM248" s="978"/>
      <c r="AN248" s="978"/>
      <c r="AO248" s="978"/>
      <c r="AP248" s="978"/>
      <c r="AQ248" s="978"/>
      <c r="AR248" s="979"/>
    </row>
    <row r="249" spans="4:44" ht="24" customHeight="1">
      <c r="D249" s="1">
        <v>32</v>
      </c>
      <c r="AB249" s="896" t="e">
        <f>"Исходя из анализа представленных документов, экспертами сделан вывод, что имущественный комплекс "&amp;AG27&amp;" находится в "&amp;IF(#REF!&gt;0,"собственности","")&amp;" "&amp;IF(#REF!&gt;0,", частично в аренде","")&amp;IF(#REF!&gt;0,"и в лизинге","")&amp;"и характеризуется следующими показателями:"</f>
        <v>#REF!</v>
      </c>
      <c r="AC249" s="896"/>
      <c r="AD249" s="896"/>
      <c r="AE249" s="896"/>
      <c r="AF249" s="896"/>
      <c r="AG249" s="896"/>
      <c r="AH249" s="896"/>
      <c r="AI249" s="896"/>
      <c r="AJ249" s="896"/>
      <c r="AK249" s="896"/>
      <c r="AL249" s="896"/>
      <c r="AM249" s="896"/>
      <c r="AN249" s="896"/>
      <c r="AO249" s="896"/>
      <c r="AP249" s="896"/>
      <c r="AQ249" s="896"/>
    </row>
    <row r="250" spans="4:44" ht="21" customHeight="1">
      <c r="D250" s="1">
        <v>28</v>
      </c>
      <c r="AB250" s="781"/>
      <c r="AC250" s="781"/>
      <c r="AD250" s="781"/>
      <c r="AE250" s="781"/>
      <c r="AF250" s="781"/>
      <c r="AG250" s="781"/>
      <c r="AH250" s="781"/>
      <c r="AI250" s="781"/>
      <c r="AJ250" s="781"/>
      <c r="AK250" s="781"/>
    </row>
    <row r="251" spans="4:44" ht="31.5" customHeight="1">
      <c r="D251" s="1">
        <v>42</v>
      </c>
      <c r="AB251" s="314" t="s">
        <v>509</v>
      </c>
      <c r="AC251" s="980" t="s">
        <v>608</v>
      </c>
      <c r="AD251" s="981"/>
      <c r="AE251" s="315" t="s">
        <v>175</v>
      </c>
      <c r="AF251" s="316" t="s">
        <v>900</v>
      </c>
      <c r="AG251" s="316" t="s">
        <v>901</v>
      </c>
      <c r="AH251" s="316" t="s">
        <v>194</v>
      </c>
      <c r="AI251" s="316" t="s">
        <v>899</v>
      </c>
    </row>
    <row r="252" spans="4:44" ht="21" customHeight="1">
      <c r="D252" s="1">
        <v>28</v>
      </c>
      <c r="AB252" s="317" t="s">
        <v>532</v>
      </c>
      <c r="AC252" s="982" t="s">
        <v>911</v>
      </c>
      <c r="AD252" s="983"/>
      <c r="AE252" s="984"/>
      <c r="AF252" s="985"/>
      <c r="AG252" s="318"/>
      <c r="AH252" s="319"/>
      <c r="AI252" s="319"/>
    </row>
    <row r="253" spans="4:44" ht="37.5" customHeight="1">
      <c r="D253" s="1">
        <v>50</v>
      </c>
      <c r="AB253" s="320" t="s">
        <v>637</v>
      </c>
      <c r="AC253" s="976" t="e">
        <f>"Утверждено "&amp;#REF!</f>
        <v>#REF!</v>
      </c>
      <c r="AD253" s="976"/>
      <c r="AE253" s="339" t="e">
        <f>#REF!</f>
        <v>#REF!</v>
      </c>
      <c r="AF253" s="339" t="e">
        <f>#REF!</f>
        <v>#REF!</v>
      </c>
      <c r="AG253" s="339" t="e">
        <f>#REF!</f>
        <v>#REF!</v>
      </c>
      <c r="AH253" s="339" t="e">
        <f>#REF!</f>
        <v>#REF!</v>
      </c>
      <c r="AI253" s="339" t="e">
        <f>#REF!</f>
        <v>#REF!</v>
      </c>
    </row>
    <row r="254" spans="4:44" ht="33.75" customHeight="1">
      <c r="D254" s="1">
        <v>45</v>
      </c>
      <c r="AB254" s="320" t="s">
        <v>642</v>
      </c>
      <c r="AC254" s="976" t="e">
        <f>"Факт ТСО "&amp;#REF!</f>
        <v>#REF!</v>
      </c>
      <c r="AD254" s="976"/>
      <c r="AE254" s="339" t="e">
        <f>#REF!</f>
        <v>#REF!</v>
      </c>
      <c r="AF254" s="339" t="e">
        <f>#REF!</f>
        <v>#REF!</v>
      </c>
      <c r="AG254" s="339" t="e">
        <f>#REF!</f>
        <v>#REF!</v>
      </c>
      <c r="AH254" s="339" t="e">
        <f>#REF!</f>
        <v>#REF!</v>
      </c>
      <c r="AI254" s="339" t="e">
        <f>#REF!</f>
        <v>#REF!</v>
      </c>
    </row>
    <row r="255" spans="4:44" ht="33.75" customHeight="1">
      <c r="D255" s="1">
        <v>45</v>
      </c>
      <c r="AB255" s="320" t="s">
        <v>647</v>
      </c>
      <c r="AC255" s="976" t="e">
        <f>"Утверждено "&amp;#REF!</f>
        <v>#REF!</v>
      </c>
      <c r="AD255" s="976"/>
      <c r="AE255" s="339" t="e">
        <f>#REF!</f>
        <v>#REF!</v>
      </c>
      <c r="AF255" s="339" t="e">
        <f>#REF!</f>
        <v>#REF!</v>
      </c>
      <c r="AG255" s="339" t="e">
        <f>#REF!</f>
        <v>#REF!</v>
      </c>
      <c r="AH255" s="339" t="e">
        <f>#REF!</f>
        <v>#REF!</v>
      </c>
      <c r="AI255" s="339" t="e">
        <f>#REF!</f>
        <v>#REF!</v>
      </c>
    </row>
    <row r="256" spans="4:44" ht="33.75" customHeight="1">
      <c r="D256" s="1">
        <v>45</v>
      </c>
      <c r="AB256" s="320" t="s">
        <v>652</v>
      </c>
      <c r="AC256" s="976" t="e">
        <f>"Факт ТСО "&amp;#REF!</f>
        <v>#REF!</v>
      </c>
      <c r="AD256" s="976"/>
      <c r="AE256" s="339" t="e">
        <f>#REF!</f>
        <v>#REF!</v>
      </c>
      <c r="AF256" s="339" t="e">
        <f>#REF!</f>
        <v>#REF!</v>
      </c>
      <c r="AG256" s="339" t="e">
        <f>#REF!</f>
        <v>#REF!</v>
      </c>
      <c r="AH256" s="339" t="e">
        <f>#REF!</f>
        <v>#REF!</v>
      </c>
      <c r="AI256" s="339" t="e">
        <f>#REF!</f>
        <v>#REF!</v>
      </c>
    </row>
    <row r="257" spans="4:46" ht="33.75" customHeight="1">
      <c r="D257" s="1">
        <v>45</v>
      </c>
      <c r="AB257" s="320" t="s">
        <v>912</v>
      </c>
      <c r="AC257" s="976" t="e">
        <f>"Утверждено "&amp;#REF!</f>
        <v>#REF!</v>
      </c>
      <c r="AD257" s="976"/>
      <c r="AE257" s="339" t="e">
        <f>#REF!</f>
        <v>#REF!</v>
      </c>
      <c r="AF257" s="339" t="e">
        <f>#REF!</f>
        <v>#REF!</v>
      </c>
      <c r="AG257" s="339" t="e">
        <f>#REF!</f>
        <v>#REF!</v>
      </c>
      <c r="AH257" s="339" t="e">
        <f>#REF!</f>
        <v>#REF!</v>
      </c>
      <c r="AI257" s="339" t="e">
        <f>#REF!</f>
        <v>#REF!</v>
      </c>
    </row>
    <row r="258" spans="4:46" ht="33.75" customHeight="1">
      <c r="D258" s="1">
        <v>45</v>
      </c>
      <c r="AB258" s="320" t="s">
        <v>913</v>
      </c>
      <c r="AC258" s="976" t="str">
        <f>"Предожение ТСО "&amp;PRD</f>
        <v>Предожение ТСО 2026</v>
      </c>
      <c r="AD258" s="976"/>
      <c r="AE258" s="339" t="e">
        <f>#REF!</f>
        <v>#REF!</v>
      </c>
      <c r="AF258" s="339" t="e">
        <f>#REF!</f>
        <v>#REF!</v>
      </c>
      <c r="AG258" s="339" t="e">
        <f>#REF!</f>
        <v>#REF!</v>
      </c>
      <c r="AH258" s="339" t="e">
        <f>#REF!</f>
        <v>#REF!</v>
      </c>
      <c r="AI258" s="339" t="e">
        <f>#REF!</f>
        <v>#REF!</v>
      </c>
    </row>
    <row r="259" spans="4:46" ht="33.75" customHeight="1">
      <c r="D259" s="1">
        <v>45</v>
      </c>
      <c r="AB259" s="320" t="s">
        <v>914</v>
      </c>
      <c r="AC259" s="976" t="str">
        <f>PRD&amp;",  Версия регулятора "</f>
        <v xml:space="preserve">2026,  Версия регулятора </v>
      </c>
      <c r="AD259" s="976"/>
      <c r="AE259" s="339" t="e">
        <f>#REF!</f>
        <v>#REF!</v>
      </c>
      <c r="AF259" s="339" t="e">
        <f>#REF!</f>
        <v>#REF!</v>
      </c>
      <c r="AG259" s="339" t="e">
        <f>#REF!</f>
        <v>#REF!</v>
      </c>
      <c r="AH259" s="339" t="e">
        <f>#REF!</f>
        <v>#REF!</v>
      </c>
      <c r="AI259" s="339" t="e">
        <f>#REF!</f>
        <v>#REF!</v>
      </c>
    </row>
    <row r="260" spans="4:46" ht="24" customHeight="1">
      <c r="D260" s="1">
        <v>32</v>
      </c>
      <c r="AB260" s="896" t="str">
        <f>"Количество условных единиц на "&amp;PRD&amp;" год по сравнению с утверждённым на "&amp;PRD-1&amp;" год  изменилось на "&amp;IFERROR(ROUND(AI259/AI257,2),0)&amp;" % ("&amp;IFERROR(ROUND(AI259-AI257,2),0)&amp;" УЕ). "</f>
        <v xml:space="preserve">Количество условных единиц на 2026 год по сравнению с утверждённым на 2025 год  изменилось на 0 % (0 УЕ). </v>
      </c>
      <c r="AC260" s="896"/>
      <c r="AD260" s="896"/>
      <c r="AE260" s="896"/>
      <c r="AF260" s="896"/>
      <c r="AG260" s="896"/>
      <c r="AH260" s="896"/>
      <c r="AI260" s="896"/>
      <c r="AJ260" s="896"/>
      <c r="AK260" s="896"/>
      <c r="AL260" s="896"/>
      <c r="AM260" s="896"/>
      <c r="AN260" s="896"/>
      <c r="AO260" s="896"/>
      <c r="AP260" s="896"/>
      <c r="AQ260" s="896"/>
    </row>
    <row r="261" spans="4:46" ht="24" customHeight="1">
      <c r="D261" s="1">
        <v>32</v>
      </c>
    </row>
    <row r="262" spans="4:46" ht="21.75" customHeight="1">
      <c r="D262" s="1">
        <v>29</v>
      </c>
      <c r="AB262" s="958" t="s">
        <v>1635</v>
      </c>
      <c r="AC262" s="781"/>
      <c r="AD262" s="781"/>
      <c r="AE262" s="781"/>
      <c r="AF262" s="781"/>
      <c r="AG262" s="781"/>
      <c r="AH262" s="781"/>
      <c r="AI262" s="781"/>
      <c r="AJ262" s="781"/>
      <c r="AK262" s="781"/>
      <c r="AL262" s="781"/>
      <c r="AM262" s="781"/>
      <c r="AN262" s="781"/>
      <c r="AO262" s="781"/>
      <c r="AP262" s="781"/>
      <c r="AQ262" s="781"/>
    </row>
    <row r="263" spans="4:46" ht="21.75" customHeight="1">
      <c r="D263" s="1">
        <v>29</v>
      </c>
      <c r="AB263" s="896" t="s">
        <v>1636</v>
      </c>
      <c r="AC263" s="896"/>
      <c r="AD263" s="896"/>
      <c r="AE263" s="896"/>
      <c r="AF263" s="896"/>
      <c r="AG263" s="896"/>
      <c r="AH263" s="896"/>
      <c r="AI263" s="896"/>
      <c r="AJ263" s="896"/>
      <c r="AK263" s="896"/>
      <c r="AL263" s="896"/>
      <c r="AM263" s="896"/>
      <c r="AN263" s="896"/>
      <c r="AO263" s="896"/>
      <c r="AP263" s="896"/>
      <c r="AQ263" s="896"/>
    </row>
    <row r="264" spans="4:46" ht="21.75" customHeight="1">
      <c r="D264" s="1">
        <v>29</v>
      </c>
      <c r="AB264" s="958" t="s">
        <v>1637</v>
      </c>
      <c r="AC264" s="781"/>
      <c r="AD264" s="781"/>
      <c r="AE264" s="781"/>
      <c r="AF264" s="781"/>
      <c r="AG264" s="781"/>
      <c r="AH264" s="781"/>
      <c r="AI264" s="781"/>
      <c r="AJ264" s="781"/>
      <c r="AK264" s="781"/>
      <c r="AL264" s="781"/>
      <c r="AM264" s="781"/>
      <c r="AN264" s="781"/>
      <c r="AO264" s="781"/>
      <c r="AP264" s="781"/>
      <c r="AQ264" s="781"/>
    </row>
    <row r="265" spans="4:46" ht="21" customHeight="1">
      <c r="D265" s="1">
        <v>28</v>
      </c>
      <c r="AB265" s="892" t="s">
        <v>1429</v>
      </c>
      <c r="AC265" s="781"/>
      <c r="AD265" s="781"/>
      <c r="AE265" s="781"/>
      <c r="AF265" s="781"/>
      <c r="AG265" s="781"/>
      <c r="AH265" s="781"/>
      <c r="AI265" s="781"/>
      <c r="AJ265" s="781"/>
      <c r="AK265" s="781"/>
      <c r="AL265" s="781"/>
      <c r="AM265" s="781"/>
      <c r="AN265" s="781"/>
      <c r="AO265" s="781"/>
      <c r="AP265" s="781"/>
      <c r="AQ265" s="781"/>
      <c r="AR265" s="781"/>
      <c r="AS265" s="781"/>
      <c r="AT265" s="781"/>
    </row>
    <row r="266" spans="4:46" ht="21" customHeight="1">
      <c r="D266" s="1">
        <v>28</v>
      </c>
      <c r="AB266" s="892" t="str">
        <f>"На "&amp;PRD&amp;" год в ведение "&amp;Титульный!AC27&amp;" заявлено оборудование:"</f>
        <v>На 2026 год в ведение МУП "Горэлектросети" заявлено оборудование:</v>
      </c>
      <c r="AC266" s="781"/>
      <c r="AD266" s="781"/>
      <c r="AE266" s="781"/>
      <c r="AF266" s="781"/>
      <c r="AG266" s="781"/>
      <c r="AH266" s="781"/>
      <c r="AI266" s="781"/>
      <c r="AJ266" s="781"/>
      <c r="AK266" s="781"/>
      <c r="AL266" s="781"/>
      <c r="AM266" s="781"/>
      <c r="AN266" s="781"/>
      <c r="AO266" s="781"/>
      <c r="AP266" s="781"/>
      <c r="AQ266" s="781"/>
      <c r="AR266" s="781"/>
      <c r="AS266" s="781"/>
      <c r="AT266" s="781"/>
    </row>
    <row r="267" spans="4:46" ht="21" customHeight="1">
      <c r="D267" s="1">
        <v>28</v>
      </c>
      <c r="AB267" s="896" t="s">
        <v>1430</v>
      </c>
      <c r="AC267" s="896"/>
      <c r="AD267" s="896"/>
      <c r="AE267" s="896"/>
      <c r="AF267" s="896"/>
      <c r="AG267" s="896"/>
      <c r="AH267" s="896"/>
      <c r="AI267" s="899"/>
      <c r="AJ267" s="965" t="e">
        <f>#REF!</f>
        <v>#REF!</v>
      </c>
      <c r="AK267" s="963"/>
    </row>
    <row r="268" spans="4:46" ht="21" customHeight="1">
      <c r="D268" s="1">
        <v>28</v>
      </c>
      <c r="AB268" s="896" t="s">
        <v>1431</v>
      </c>
      <c r="AC268" s="896"/>
      <c r="AD268" s="896"/>
      <c r="AE268" s="896"/>
      <c r="AF268" s="896"/>
      <c r="AG268" s="896"/>
      <c r="AH268" s="896"/>
      <c r="AI268" s="899"/>
      <c r="AJ268" s="965" t="e">
        <f>#REF!</f>
        <v>#REF!</v>
      </c>
      <c r="AK268" s="963"/>
    </row>
    <row r="269" spans="4:46" ht="21" customHeight="1">
      <c r="D269" s="1">
        <v>28</v>
      </c>
      <c r="AB269" s="896" t="s">
        <v>1422</v>
      </c>
      <c r="AC269" s="896"/>
      <c r="AD269" s="896"/>
      <c r="AE269" s="896"/>
      <c r="AF269" s="896"/>
      <c r="AG269" s="896"/>
      <c r="AH269" s="896"/>
      <c r="AI269" s="899"/>
      <c r="AJ269" s="965" t="e">
        <f>#REF!</f>
        <v>#REF!</v>
      </c>
      <c r="AK269" s="963"/>
    </row>
    <row r="270" spans="4:46" ht="21" customHeight="1">
      <c r="D270" s="1">
        <v>28</v>
      </c>
      <c r="AB270" s="896" t="s">
        <v>1638</v>
      </c>
      <c r="AC270" s="896"/>
      <c r="AD270" s="896"/>
      <c r="AE270" s="896"/>
      <c r="AF270" s="896"/>
      <c r="AG270" s="896"/>
      <c r="AH270" s="896"/>
      <c r="AI270" s="899"/>
      <c r="AJ270" s="965" t="e">
        <f>#REF!</f>
        <v>#REF!</v>
      </c>
      <c r="AK270" s="963"/>
    </row>
    <row r="271" spans="4:46" ht="21" customHeight="1">
      <c r="D271" s="1">
        <v>28</v>
      </c>
      <c r="AB271" s="896" t="s">
        <v>1424</v>
      </c>
      <c r="AC271" s="896"/>
      <c r="AD271" s="896"/>
      <c r="AE271" s="896"/>
      <c r="AF271" s="896"/>
      <c r="AG271" s="896"/>
      <c r="AH271" s="896"/>
      <c r="AI271" s="899"/>
      <c r="AJ271" s="965" t="e">
        <f>#REF!</f>
        <v>#REF!</v>
      </c>
      <c r="AK271" s="963"/>
    </row>
    <row r="272" spans="4:46" ht="21" customHeight="1">
      <c r="D272" s="1">
        <v>28</v>
      </c>
      <c r="AB272" s="896" t="s">
        <v>1425</v>
      </c>
      <c r="AC272" s="896"/>
      <c r="AD272" s="896"/>
      <c r="AE272" s="896"/>
      <c r="AF272" s="896"/>
      <c r="AG272" s="896"/>
      <c r="AH272" s="896"/>
      <c r="AI272" s="899"/>
      <c r="AJ272" s="965" t="e">
        <f>#REF!</f>
        <v>#REF!</v>
      </c>
      <c r="AK272" s="963"/>
    </row>
    <row r="273" spans="1:46" ht="24" customHeight="1">
      <c r="D273" s="1">
        <v>32</v>
      </c>
      <c r="AB273" s="781"/>
      <c r="AC273" s="781"/>
      <c r="AD273" s="781"/>
      <c r="AE273" s="781"/>
      <c r="AF273" s="781"/>
      <c r="AG273" s="781"/>
      <c r="AH273" s="781"/>
      <c r="AI273" s="781"/>
      <c r="AJ273" s="781"/>
      <c r="AK273" s="781"/>
      <c r="AL273" s="781"/>
      <c r="AM273" s="781"/>
      <c r="AN273" s="781"/>
      <c r="AO273" s="781"/>
      <c r="AP273" s="781"/>
      <c r="AQ273" s="781"/>
    </row>
    <row r="274" spans="1:46" ht="24" customHeight="1">
      <c r="D274" s="1">
        <v>32</v>
      </c>
      <c r="AB274" s="896" t="s">
        <v>1434</v>
      </c>
      <c r="AC274" s="896"/>
      <c r="AD274" s="896"/>
      <c r="AE274" s="896"/>
      <c r="AF274" s="896"/>
      <c r="AG274" s="896"/>
      <c r="AH274" s="896"/>
      <c r="AI274" s="896"/>
      <c r="AJ274" s="896"/>
      <c r="AK274" s="896"/>
      <c r="AL274" s="896"/>
      <c r="AM274" s="896"/>
      <c r="AN274" s="896"/>
      <c r="AO274" s="896"/>
      <c r="AP274" s="896"/>
      <c r="AQ274" s="896"/>
      <c r="AR274" s="288"/>
      <c r="AS274" s="288"/>
      <c r="AT274" s="288"/>
    </row>
    <row r="275" spans="1:46" ht="19.5" hidden="1" customHeight="1">
      <c r="A275" s="180" t="str">
        <f t="shared" ref="A275:A296" si="4">(IF($AG$126="«котла сверху»","HIDDEN","VISIBLE"))</f>
        <v>VISIBLE</v>
      </c>
      <c r="D275" s="1">
        <v>0</v>
      </c>
      <c r="AB275" s="1013" t="str">
        <f>"Плановая величина мощности на "&amp;PRD&amp;" год составляла, в том числе:"</f>
        <v>Плановая величина мощности на 2026 год составляла, в том числе:</v>
      </c>
      <c r="AC275" s="1013"/>
      <c r="AD275" s="1013"/>
      <c r="AE275" s="1013"/>
      <c r="AF275" s="1013"/>
      <c r="AG275" s="1013"/>
      <c r="AH275" s="1013"/>
      <c r="AI275" s="1013"/>
      <c r="AJ275" s="1013"/>
      <c r="AK275" s="1013"/>
      <c r="AL275" s="1013"/>
      <c r="AM275" s="1013"/>
      <c r="AN275" s="1013"/>
      <c r="AO275" s="1013"/>
      <c r="AP275" s="1013"/>
      <c r="AQ275" s="1013"/>
      <c r="AR275" s="390"/>
      <c r="AS275" s="390"/>
      <c r="AT275" s="390"/>
    </row>
    <row r="276" spans="1:46" ht="17.25" hidden="1" customHeight="1">
      <c r="A276" s="180" t="str">
        <f t="shared" si="4"/>
        <v>VISIBLE</v>
      </c>
      <c r="D276" s="1">
        <v>0</v>
      </c>
      <c r="AB276" s="1014"/>
      <c r="AC276" s="1015"/>
      <c r="AD276" s="1015"/>
      <c r="AE276" s="1015"/>
      <c r="AF276" s="1015"/>
      <c r="AG276" s="1015"/>
      <c r="AH276" s="1015"/>
      <c r="AI276" s="1015"/>
      <c r="AJ276" s="1015"/>
      <c r="AK276" s="1015"/>
      <c r="AL276" s="1015"/>
      <c r="AM276" s="1015"/>
      <c r="AN276" s="1015"/>
      <c r="AO276" s="1015"/>
      <c r="AP276" s="1015"/>
      <c r="AQ276" s="1015"/>
      <c r="AR276" s="1015"/>
      <c r="AS276" s="1015"/>
      <c r="AT276" s="1016"/>
    </row>
    <row r="277" spans="1:46" ht="17.25" hidden="1" customHeight="1">
      <c r="A277" s="180" t="str">
        <f t="shared" si="4"/>
        <v>VISIBLE</v>
      </c>
      <c r="D277" s="1">
        <v>0</v>
      </c>
      <c r="AB277" s="1014"/>
      <c r="AC277" s="1015"/>
      <c r="AD277" s="1015"/>
      <c r="AE277" s="1015"/>
      <c r="AF277" s="1015"/>
      <c r="AG277" s="1015"/>
      <c r="AH277" s="1015"/>
      <c r="AI277" s="1015"/>
      <c r="AJ277" s="1015"/>
      <c r="AK277" s="1015"/>
      <c r="AL277" s="1015"/>
      <c r="AM277" s="1015"/>
      <c r="AN277" s="1015"/>
      <c r="AO277" s="1015"/>
      <c r="AP277" s="1015"/>
      <c r="AQ277" s="1015"/>
      <c r="AR277" s="1015"/>
      <c r="AS277" s="1015"/>
      <c r="AT277" s="1016"/>
    </row>
    <row r="278" spans="1:46" ht="17.25" hidden="1" customHeight="1">
      <c r="A278" s="180" t="str">
        <f t="shared" si="4"/>
        <v>VISIBLE</v>
      </c>
      <c r="D278" s="1">
        <v>0</v>
      </c>
      <c r="AB278" s="1014"/>
      <c r="AC278" s="1015"/>
      <c r="AD278" s="1015"/>
      <c r="AE278" s="1015"/>
      <c r="AF278" s="1015"/>
      <c r="AG278" s="1015"/>
      <c r="AH278" s="1015"/>
      <c r="AI278" s="1015"/>
      <c r="AJ278" s="1015"/>
      <c r="AK278" s="1015"/>
      <c r="AL278" s="1015"/>
      <c r="AM278" s="1015"/>
      <c r="AN278" s="1015"/>
      <c r="AO278" s="1015"/>
      <c r="AP278" s="1015"/>
      <c r="AQ278" s="1015"/>
      <c r="AR278" s="1015"/>
      <c r="AS278" s="1015"/>
      <c r="AT278" s="1016"/>
    </row>
    <row r="279" spans="1:46" ht="17.25" hidden="1" customHeight="1">
      <c r="A279" s="180" t="str">
        <f t="shared" si="4"/>
        <v>VISIBLE</v>
      </c>
      <c r="D279" s="1">
        <v>0</v>
      </c>
      <c r="AB279" s="1014"/>
      <c r="AC279" s="1015"/>
      <c r="AD279" s="1015"/>
      <c r="AE279" s="1015"/>
      <c r="AF279" s="1015"/>
      <c r="AG279" s="1015"/>
      <c r="AH279" s="1015"/>
      <c r="AI279" s="1015"/>
      <c r="AJ279" s="1015"/>
      <c r="AK279" s="1015"/>
      <c r="AL279" s="1015"/>
      <c r="AM279" s="1015"/>
      <c r="AN279" s="1015"/>
      <c r="AO279" s="1015"/>
      <c r="AP279" s="1015"/>
      <c r="AQ279" s="1015"/>
      <c r="AR279" s="1015"/>
      <c r="AS279" s="1015"/>
      <c r="AT279" s="1016"/>
    </row>
    <row r="280" spans="1:46" ht="17.25" hidden="1" customHeight="1">
      <c r="A280" s="180" t="str">
        <f t="shared" si="4"/>
        <v>VISIBLE</v>
      </c>
      <c r="D280" s="1">
        <v>0</v>
      </c>
      <c r="AB280" s="1014"/>
      <c r="AC280" s="1015"/>
      <c r="AD280" s="1015"/>
      <c r="AE280" s="1015"/>
      <c r="AF280" s="1015"/>
      <c r="AG280" s="1015"/>
      <c r="AH280" s="1015"/>
      <c r="AI280" s="1015"/>
      <c r="AJ280" s="1015"/>
      <c r="AK280" s="1015"/>
      <c r="AL280" s="1015"/>
      <c r="AM280" s="1015"/>
      <c r="AN280" s="1015"/>
      <c r="AO280" s="1015"/>
      <c r="AP280" s="1015"/>
      <c r="AQ280" s="1015"/>
      <c r="AR280" s="1015"/>
      <c r="AS280" s="1015"/>
      <c r="AT280" s="1016"/>
    </row>
    <row r="281" spans="1:46" ht="19.5" hidden="1" customHeight="1">
      <c r="A281" s="180" t="str">
        <f t="shared" si="4"/>
        <v>VISIBLE</v>
      </c>
      <c r="D281" s="1">
        <v>0</v>
      </c>
      <c r="AB281" s="1013" t="str">
        <f>"Заключение: величина мощности на "&amp;PRD&amp;" год составит, в том числе:"</f>
        <v>Заключение: величина мощности на 2026 год составит, в том числе:</v>
      </c>
      <c r="AC281" s="1013"/>
      <c r="AD281" s="1013"/>
      <c r="AE281" s="1013"/>
      <c r="AF281" s="1013"/>
      <c r="AG281" s="1013"/>
      <c r="AH281" s="1013"/>
      <c r="AI281" s="1013"/>
      <c r="AJ281" s="1013"/>
      <c r="AK281" s="1013"/>
      <c r="AL281" s="1013"/>
      <c r="AM281" s="1013"/>
      <c r="AN281" s="1013"/>
      <c r="AO281" s="1013"/>
      <c r="AP281" s="1013"/>
      <c r="AQ281" s="1013"/>
      <c r="AR281" s="390"/>
      <c r="AS281" s="390"/>
      <c r="AT281" s="390"/>
    </row>
    <row r="282" spans="1:46" ht="17.25" hidden="1" customHeight="1">
      <c r="A282" s="180" t="str">
        <f t="shared" si="4"/>
        <v>VISIBLE</v>
      </c>
      <c r="D282" s="1">
        <v>0</v>
      </c>
      <c r="AB282" s="1014"/>
      <c r="AC282" s="1015"/>
      <c r="AD282" s="1015"/>
      <c r="AE282" s="1015"/>
      <c r="AF282" s="1015"/>
      <c r="AG282" s="1015"/>
      <c r="AH282" s="1015"/>
      <c r="AI282" s="1015"/>
      <c r="AJ282" s="1015"/>
      <c r="AK282" s="1015"/>
      <c r="AL282" s="1015"/>
      <c r="AM282" s="1015"/>
      <c r="AN282" s="1015"/>
      <c r="AO282" s="1015"/>
      <c r="AP282" s="1015"/>
      <c r="AQ282" s="1015"/>
      <c r="AR282" s="1015"/>
      <c r="AS282" s="1015"/>
      <c r="AT282" s="1016"/>
    </row>
    <row r="283" spans="1:46" ht="17.25" hidden="1" customHeight="1">
      <c r="A283" s="180" t="str">
        <f t="shared" si="4"/>
        <v>VISIBLE</v>
      </c>
      <c r="D283" s="1">
        <v>0</v>
      </c>
      <c r="AB283" s="1014"/>
      <c r="AC283" s="1015"/>
      <c r="AD283" s="1015"/>
      <c r="AE283" s="1015"/>
      <c r="AF283" s="1015"/>
      <c r="AG283" s="1015"/>
      <c r="AH283" s="1015"/>
      <c r="AI283" s="1015"/>
      <c r="AJ283" s="1015"/>
      <c r="AK283" s="1015"/>
      <c r="AL283" s="1015"/>
      <c r="AM283" s="1015"/>
      <c r="AN283" s="1015"/>
      <c r="AO283" s="1015"/>
      <c r="AP283" s="1015"/>
      <c r="AQ283" s="1015"/>
      <c r="AR283" s="1015"/>
      <c r="AS283" s="1015"/>
      <c r="AT283" s="1016"/>
    </row>
    <row r="284" spans="1:46" ht="17.25" hidden="1" customHeight="1">
      <c r="A284" s="180" t="str">
        <f t="shared" si="4"/>
        <v>VISIBLE</v>
      </c>
      <c r="D284" s="1">
        <v>0</v>
      </c>
      <c r="AB284" s="1014"/>
      <c r="AC284" s="1015"/>
      <c r="AD284" s="1015"/>
      <c r="AE284" s="1015"/>
      <c r="AF284" s="1015"/>
      <c r="AG284" s="1015"/>
      <c r="AH284" s="1015"/>
      <c r="AI284" s="1015"/>
      <c r="AJ284" s="1015"/>
      <c r="AK284" s="1015"/>
      <c r="AL284" s="1015"/>
      <c r="AM284" s="1015"/>
      <c r="AN284" s="1015"/>
      <c r="AO284" s="1015"/>
      <c r="AP284" s="1015"/>
      <c r="AQ284" s="1015"/>
      <c r="AR284" s="1015"/>
      <c r="AS284" s="1015"/>
      <c r="AT284" s="1016"/>
    </row>
    <row r="285" spans="1:46" ht="17.25" hidden="1" customHeight="1">
      <c r="A285" s="180" t="str">
        <f t="shared" si="4"/>
        <v>VISIBLE</v>
      </c>
      <c r="D285" s="1">
        <v>0</v>
      </c>
      <c r="AB285" s="1014"/>
      <c r="AC285" s="1015"/>
      <c r="AD285" s="1015"/>
      <c r="AE285" s="1015"/>
      <c r="AF285" s="1015"/>
      <c r="AG285" s="1015"/>
      <c r="AH285" s="1015"/>
      <c r="AI285" s="1015"/>
      <c r="AJ285" s="1015"/>
      <c r="AK285" s="1015"/>
      <c r="AL285" s="1015"/>
      <c r="AM285" s="1015"/>
      <c r="AN285" s="1015"/>
      <c r="AO285" s="1015"/>
      <c r="AP285" s="1015"/>
      <c r="AQ285" s="1015"/>
      <c r="AR285" s="1015"/>
      <c r="AS285" s="1015"/>
      <c r="AT285" s="1016"/>
    </row>
    <row r="286" spans="1:46" ht="19.5" hidden="1" customHeight="1">
      <c r="A286" s="180" t="str">
        <f t="shared" si="4"/>
        <v>VISIBLE</v>
      </c>
      <c r="D286" s="1">
        <v>0</v>
      </c>
      <c r="AB286" s="1013" t="str">
        <f>"Плановая величина полезного отпуска электрической энергии на "&amp;PRD&amp;" год составляла, в том числе:"</f>
        <v>Плановая величина полезного отпуска электрической энергии на 2026 год составляла, в том числе:</v>
      </c>
      <c r="AC286" s="1013"/>
      <c r="AD286" s="1013"/>
      <c r="AE286" s="1013"/>
      <c r="AF286" s="1013"/>
      <c r="AG286" s="1013"/>
      <c r="AH286" s="1013"/>
      <c r="AI286" s="1013"/>
      <c r="AJ286" s="1013"/>
      <c r="AK286" s="1013"/>
      <c r="AL286" s="1013"/>
      <c r="AM286" s="1013"/>
      <c r="AN286" s="1013"/>
      <c r="AO286" s="1013"/>
      <c r="AP286" s="1013"/>
      <c r="AQ286" s="1013"/>
      <c r="AR286" s="390"/>
      <c r="AS286" s="390"/>
      <c r="AT286" s="390"/>
    </row>
    <row r="287" spans="1:46" ht="17.25" hidden="1" customHeight="1">
      <c r="A287" s="180" t="str">
        <f t="shared" si="4"/>
        <v>VISIBLE</v>
      </c>
      <c r="D287" s="1">
        <v>0</v>
      </c>
      <c r="AB287" s="1014"/>
      <c r="AC287" s="1015"/>
      <c r="AD287" s="1015"/>
      <c r="AE287" s="1015"/>
      <c r="AF287" s="1015"/>
      <c r="AG287" s="1015"/>
      <c r="AH287" s="1015"/>
      <c r="AI287" s="1015"/>
      <c r="AJ287" s="1015"/>
      <c r="AK287" s="1015"/>
      <c r="AL287" s="1015"/>
      <c r="AM287" s="1015"/>
      <c r="AN287" s="1015"/>
      <c r="AO287" s="1015"/>
      <c r="AP287" s="1015"/>
      <c r="AQ287" s="1015"/>
      <c r="AR287" s="1015"/>
      <c r="AS287" s="1015"/>
      <c r="AT287" s="1016"/>
    </row>
    <row r="288" spans="1:46" ht="17.25" hidden="1" customHeight="1">
      <c r="A288" s="180" t="str">
        <f t="shared" si="4"/>
        <v>VISIBLE</v>
      </c>
      <c r="D288" s="1">
        <v>0</v>
      </c>
      <c r="AB288" s="1014"/>
      <c r="AC288" s="1015"/>
      <c r="AD288" s="1015"/>
      <c r="AE288" s="1015"/>
      <c r="AF288" s="1015"/>
      <c r="AG288" s="1015"/>
      <c r="AH288" s="1015"/>
      <c r="AI288" s="1015"/>
      <c r="AJ288" s="1015"/>
      <c r="AK288" s="1015"/>
      <c r="AL288" s="1015"/>
      <c r="AM288" s="1015"/>
      <c r="AN288" s="1015"/>
      <c r="AO288" s="1015"/>
      <c r="AP288" s="1015"/>
      <c r="AQ288" s="1015"/>
      <c r="AR288" s="1015"/>
      <c r="AS288" s="1015"/>
      <c r="AT288" s="1016"/>
    </row>
    <row r="289" spans="1:46" ht="17.25" hidden="1" customHeight="1">
      <c r="A289" s="180" t="str">
        <f t="shared" si="4"/>
        <v>VISIBLE</v>
      </c>
      <c r="D289" s="1">
        <v>0</v>
      </c>
      <c r="AB289" s="1014"/>
      <c r="AC289" s="1015"/>
      <c r="AD289" s="1015"/>
      <c r="AE289" s="1015"/>
      <c r="AF289" s="1015"/>
      <c r="AG289" s="1015"/>
      <c r="AH289" s="1015"/>
      <c r="AI289" s="1015"/>
      <c r="AJ289" s="1015"/>
      <c r="AK289" s="1015"/>
      <c r="AL289" s="1015"/>
      <c r="AM289" s="1015"/>
      <c r="AN289" s="1015"/>
      <c r="AO289" s="1015"/>
      <c r="AP289" s="1015"/>
      <c r="AQ289" s="1015"/>
      <c r="AR289" s="1015"/>
      <c r="AS289" s="1015"/>
      <c r="AT289" s="1016"/>
    </row>
    <row r="290" spans="1:46" ht="17.25" hidden="1" customHeight="1">
      <c r="A290" s="180" t="str">
        <f t="shared" si="4"/>
        <v>VISIBLE</v>
      </c>
      <c r="D290" s="1">
        <v>0</v>
      </c>
      <c r="AB290" s="1014"/>
      <c r="AC290" s="1015"/>
      <c r="AD290" s="1015"/>
      <c r="AE290" s="1015"/>
      <c r="AF290" s="1015"/>
      <c r="AG290" s="1015"/>
      <c r="AH290" s="1015"/>
      <c r="AI290" s="1015"/>
      <c r="AJ290" s="1015"/>
      <c r="AK290" s="1015"/>
      <c r="AL290" s="1015"/>
      <c r="AM290" s="1015"/>
      <c r="AN290" s="1015"/>
      <c r="AO290" s="1015"/>
      <c r="AP290" s="1015"/>
      <c r="AQ290" s="1015"/>
      <c r="AR290" s="1015"/>
      <c r="AS290" s="1015"/>
      <c r="AT290" s="1016"/>
    </row>
    <row r="291" spans="1:46" ht="17.25" hidden="1" customHeight="1">
      <c r="A291" s="180" t="str">
        <f t="shared" si="4"/>
        <v>VISIBLE</v>
      </c>
      <c r="D291" s="1">
        <v>0</v>
      </c>
      <c r="AB291" s="1014"/>
      <c r="AC291" s="1015"/>
      <c r="AD291" s="1015"/>
      <c r="AE291" s="1015"/>
      <c r="AF291" s="1015"/>
      <c r="AG291" s="1015"/>
      <c r="AH291" s="1015"/>
      <c r="AI291" s="1015"/>
      <c r="AJ291" s="1015"/>
      <c r="AK291" s="1015"/>
      <c r="AL291" s="1015"/>
      <c r="AM291" s="1015"/>
      <c r="AN291" s="1015"/>
      <c r="AO291" s="1015"/>
      <c r="AP291" s="1015"/>
      <c r="AQ291" s="1015"/>
      <c r="AR291" s="1015"/>
      <c r="AS291" s="1015"/>
      <c r="AT291" s="1016"/>
    </row>
    <row r="292" spans="1:46" ht="19.5" hidden="1" customHeight="1">
      <c r="A292" s="180" t="str">
        <f t="shared" si="4"/>
        <v>VISIBLE</v>
      </c>
      <c r="D292" s="1">
        <v>0</v>
      </c>
      <c r="AB292" s="1013" t="str">
        <f>"Заключение: величина полезного отпуска электрической энергии на "&amp;PRD&amp;" год составит, в том числе:"</f>
        <v>Заключение: величина полезного отпуска электрической энергии на 2026 год составит, в том числе:</v>
      </c>
      <c r="AC292" s="1013"/>
      <c r="AD292" s="1013"/>
      <c r="AE292" s="1013"/>
      <c r="AF292" s="1013"/>
      <c r="AG292" s="1013"/>
      <c r="AH292" s="1013"/>
      <c r="AI292" s="1013"/>
      <c r="AJ292" s="1013"/>
      <c r="AK292" s="1013"/>
      <c r="AL292" s="1013"/>
      <c r="AM292" s="1013"/>
      <c r="AN292" s="1013"/>
      <c r="AO292" s="1013"/>
      <c r="AP292" s="1013"/>
      <c r="AQ292" s="1013"/>
      <c r="AR292" s="390"/>
      <c r="AS292" s="390"/>
      <c r="AT292" s="390"/>
    </row>
    <row r="293" spans="1:46" ht="17.25" hidden="1" customHeight="1">
      <c r="A293" s="180" t="str">
        <f t="shared" si="4"/>
        <v>VISIBLE</v>
      </c>
      <c r="D293" s="1">
        <v>0</v>
      </c>
      <c r="AB293" s="1014"/>
      <c r="AC293" s="1015"/>
      <c r="AD293" s="1015"/>
      <c r="AE293" s="1015"/>
      <c r="AF293" s="1015"/>
      <c r="AG293" s="1015"/>
      <c r="AH293" s="1015"/>
      <c r="AI293" s="1015"/>
      <c r="AJ293" s="1015"/>
      <c r="AK293" s="1015"/>
      <c r="AL293" s="1015"/>
      <c r="AM293" s="1015"/>
      <c r="AN293" s="1015"/>
      <c r="AO293" s="1015"/>
      <c r="AP293" s="1015"/>
      <c r="AQ293" s="1015"/>
      <c r="AR293" s="1015"/>
      <c r="AS293" s="1015"/>
      <c r="AT293" s="1016"/>
    </row>
    <row r="294" spans="1:46" ht="17.25" hidden="1" customHeight="1">
      <c r="A294" s="180" t="str">
        <f t="shared" si="4"/>
        <v>VISIBLE</v>
      </c>
      <c r="D294" s="1">
        <v>0</v>
      </c>
      <c r="AB294" s="1014"/>
      <c r="AC294" s="1015"/>
      <c r="AD294" s="1015"/>
      <c r="AE294" s="1015"/>
      <c r="AF294" s="1015"/>
      <c r="AG294" s="1015"/>
      <c r="AH294" s="1015"/>
      <c r="AI294" s="1015"/>
      <c r="AJ294" s="1015"/>
      <c r="AK294" s="1015"/>
      <c r="AL294" s="1015"/>
      <c r="AM294" s="1015"/>
      <c r="AN294" s="1015"/>
      <c r="AO294" s="1015"/>
      <c r="AP294" s="1015"/>
      <c r="AQ294" s="1015"/>
      <c r="AR294" s="1015"/>
      <c r="AS294" s="1015"/>
      <c r="AT294" s="1016"/>
    </row>
    <row r="295" spans="1:46" ht="17.25" hidden="1" customHeight="1">
      <c r="A295" s="180" t="str">
        <f t="shared" si="4"/>
        <v>VISIBLE</v>
      </c>
      <c r="D295" s="1">
        <v>0</v>
      </c>
      <c r="AB295" s="1014"/>
      <c r="AC295" s="1015"/>
      <c r="AD295" s="1015"/>
      <c r="AE295" s="1015"/>
      <c r="AF295" s="1015"/>
      <c r="AG295" s="1015"/>
      <c r="AH295" s="1015"/>
      <c r="AI295" s="1015"/>
      <c r="AJ295" s="1015"/>
      <c r="AK295" s="1015"/>
      <c r="AL295" s="1015"/>
      <c r="AM295" s="1015"/>
      <c r="AN295" s="1015"/>
      <c r="AO295" s="1015"/>
      <c r="AP295" s="1015"/>
      <c r="AQ295" s="1015"/>
      <c r="AR295" s="1015"/>
      <c r="AS295" s="1015"/>
      <c r="AT295" s="1016"/>
    </row>
    <row r="296" spans="1:46" ht="17.25" hidden="1" customHeight="1">
      <c r="A296" s="180" t="str">
        <f t="shared" si="4"/>
        <v>VISIBLE</v>
      </c>
      <c r="D296" s="1">
        <v>0</v>
      </c>
      <c r="AB296" s="1014"/>
      <c r="AC296" s="1015"/>
      <c r="AD296" s="1015"/>
      <c r="AE296" s="1015"/>
      <c r="AF296" s="1015"/>
      <c r="AG296" s="1015"/>
      <c r="AH296" s="1015"/>
      <c r="AI296" s="1015"/>
      <c r="AJ296" s="1015"/>
      <c r="AK296" s="1015"/>
      <c r="AL296" s="1015"/>
      <c r="AM296" s="1015"/>
      <c r="AN296" s="1015"/>
      <c r="AO296" s="1015"/>
      <c r="AP296" s="1015"/>
      <c r="AQ296" s="1015"/>
      <c r="AR296" s="1015"/>
      <c r="AS296" s="1015"/>
      <c r="AT296" s="1016"/>
    </row>
    <row r="297" spans="1:46" ht="33" customHeight="1">
      <c r="A297" s="180" t="str">
        <f>(IF($AG$126="«котла сверху»","VISIBLE","HIDDEN"))</f>
        <v>HIDDEN</v>
      </c>
      <c r="D297" s="1">
        <v>44</v>
      </c>
      <c r="AB297" s="1017" t="e">
        <f>"Оценка объёмов передачи электрической энергии по сетям "&amp;AG27&amp;", показала обоснованность включения в расчёт тарифа на "&amp;PRD&amp;" год объём полезного отпуска электрической энергии в размере "&amp;ROUND(#REF!,2)&amp;"  млн. кВтч в год."</f>
        <v>#REF!</v>
      </c>
      <c r="AC297" s="1017"/>
      <c r="AD297" s="1017"/>
      <c r="AE297" s="1017"/>
      <c r="AF297" s="1017"/>
      <c r="AG297" s="1017"/>
      <c r="AH297" s="1017"/>
      <c r="AI297" s="1017"/>
      <c r="AJ297" s="1017"/>
      <c r="AK297" s="1017"/>
      <c r="AL297" s="1017"/>
      <c r="AM297" s="1017"/>
      <c r="AN297" s="1017"/>
      <c r="AO297" s="1017"/>
      <c r="AP297" s="1017"/>
      <c r="AQ297" s="1017"/>
      <c r="AR297" s="1017"/>
      <c r="AS297" s="1017"/>
      <c r="AT297" s="1017"/>
    </row>
    <row r="298" spans="1:46" ht="35.25" customHeight="1">
      <c r="A298" s="180" t="str">
        <f>(IF($AG$126="«котла сверху»","VISIBLE","HIDDEN"))</f>
        <v>HIDDEN</v>
      </c>
      <c r="D298" s="1">
        <v>47</v>
      </c>
      <c r="AB298" s="896" t="str">
        <f>"Полезный отпуск электрической энергии на "&amp;PRD&amp;" год в границах РСК учитывает договорные объёмы потребителей услуг по передаче электроэнергии, заявленные на "&amp;PRD&amp;" год, а также переток электрической энергии в смежные сетевые организации. "</f>
        <v xml:space="preserve">Полезный отпуск электрической энергии на 2026 год в границах РСК учитывает договорные объёмы потребителей услуг по передаче электроэнергии, заявленные на 2026 год, а также переток электрической энергии в смежные сетевые организации. </v>
      </c>
      <c r="AC298" s="896"/>
      <c r="AD298" s="896"/>
      <c r="AE298" s="896"/>
      <c r="AF298" s="896"/>
      <c r="AG298" s="896"/>
      <c r="AH298" s="896"/>
      <c r="AI298" s="896"/>
      <c r="AJ298" s="896"/>
      <c r="AK298" s="896"/>
      <c r="AL298" s="896"/>
      <c r="AM298" s="896"/>
      <c r="AN298" s="896"/>
      <c r="AO298" s="896"/>
      <c r="AP298" s="896"/>
      <c r="AQ298" s="896"/>
      <c r="AR298" s="896"/>
      <c r="AS298" s="896"/>
      <c r="AT298" s="896"/>
    </row>
    <row r="299" spans="1:46" ht="35.25" customHeight="1">
      <c r="D299" s="1">
        <v>47</v>
      </c>
      <c r="AB299" s="896" t="str">
        <f>"В расчёт тарифов на услуги по передаче электрической энергии по сетям "&amp;Титульный!AC27&amp;" эксперты приняли балансовые показатели с учётом фактических показателей "&amp;PRD-2&amp;" года, ожидаемых показателей  "&amp;PRD-1&amp;" год и плана на "&amp;PRD&amp;" год "</f>
        <v xml:space="preserve">В расчёт тарифов на услуги по передаче электрической энергии по сетям МУП "Горэлектросети" эксперты приняли балансовые показатели с учётом фактических показателей 2024 года, ожидаемых показателей  2025 год и плана на 2026 год </v>
      </c>
      <c r="AC299" s="896"/>
      <c r="AD299" s="896"/>
      <c r="AE299" s="896"/>
      <c r="AF299" s="896"/>
      <c r="AG299" s="896"/>
      <c r="AH299" s="896"/>
      <c r="AI299" s="896"/>
      <c r="AJ299" s="896"/>
      <c r="AK299" s="896"/>
      <c r="AL299" s="896"/>
      <c r="AM299" s="896"/>
      <c r="AN299" s="896"/>
      <c r="AO299" s="896"/>
      <c r="AP299" s="896"/>
      <c r="AQ299" s="896"/>
      <c r="AR299" s="288"/>
      <c r="AS299" s="288"/>
      <c r="AT299" s="288"/>
    </row>
    <row r="300" spans="1:46" ht="24" customHeight="1">
      <c r="D300" s="1">
        <v>32</v>
      </c>
      <c r="AB300" s="1018"/>
      <c r="AC300" s="1019"/>
      <c r="AD300" s="1020"/>
      <c r="AE300" s="988" t="s">
        <v>1435</v>
      </c>
      <c r="AF300" s="312" t="e">
        <f>#REF!</f>
        <v>#REF!</v>
      </c>
      <c r="AG300" s="312" t="e">
        <f>#REF!</f>
        <v>#REF!</v>
      </c>
      <c r="AH300" s="312" t="e">
        <f>#REF!</f>
        <v>#REF!</v>
      </c>
      <c r="AI300" s="312" t="e">
        <f>#REF!</f>
        <v>#REF!</v>
      </c>
      <c r="AJ300" s="312" t="e">
        <f>#REF!</f>
        <v>#REF!</v>
      </c>
      <c r="AK300" s="312" t="e">
        <f>#REF!</f>
        <v>#REF!</v>
      </c>
      <c r="AL300" s="312" t="e">
        <f>#REF!</f>
        <v>#REF!</v>
      </c>
      <c r="AM300" s="312" t="e">
        <f>#REF!</f>
        <v>#REF!</v>
      </c>
    </row>
    <row r="301" spans="1:46" ht="31.5" customHeight="1">
      <c r="D301" s="1">
        <v>42</v>
      </c>
      <c r="AB301" s="1021"/>
      <c r="AC301" s="1022"/>
      <c r="AD301" s="1023"/>
      <c r="AE301" s="989"/>
      <c r="AF301" s="312" t="s">
        <v>1639</v>
      </c>
      <c r="AG301" s="312" t="s">
        <v>753</v>
      </c>
      <c r="AH301" s="312" t="s">
        <v>757</v>
      </c>
      <c r="AI301" s="312" t="s">
        <v>753</v>
      </c>
      <c r="AJ301" s="312" t="s">
        <v>1436</v>
      </c>
      <c r="AK301" s="312" t="s">
        <v>1437</v>
      </c>
      <c r="AL301" s="312" t="s">
        <v>752</v>
      </c>
      <c r="AM301" s="312" t="s">
        <v>1437</v>
      </c>
    </row>
    <row r="302" spans="1:46" ht="35.25" customHeight="1">
      <c r="D302" s="1">
        <v>47</v>
      </c>
      <c r="AB302" s="313" t="s">
        <v>528</v>
      </c>
      <c r="AC302" s="900" t="s">
        <v>1030</v>
      </c>
      <c r="AD302" s="900"/>
      <c r="AE302" s="312" t="s">
        <v>916</v>
      </c>
      <c r="AF302" s="324"/>
      <c r="AG302" s="324"/>
      <c r="AH302" s="321" t="e">
        <f>#REF!</f>
        <v>#REF!</v>
      </c>
      <c r="AI302" s="321" t="e">
        <f>#REF!</f>
        <v>#REF!</v>
      </c>
      <c r="AJ302" s="324"/>
      <c r="AK302" s="321" t="e">
        <f>#REF!</f>
        <v>#REF!</v>
      </c>
      <c r="AL302" s="321" t="e">
        <f>#REF!</f>
        <v>#REF!</v>
      </c>
      <c r="AM302" s="321" t="e">
        <f>#REF!</f>
        <v>#REF!</v>
      </c>
    </row>
    <row r="303" spans="1:46" ht="33.75" customHeight="1">
      <c r="D303" s="1">
        <v>45</v>
      </c>
      <c r="AB303" s="313" t="s">
        <v>530</v>
      </c>
      <c r="AC303" s="900" t="s">
        <v>933</v>
      </c>
      <c r="AD303" s="900"/>
      <c r="AE303" s="312" t="s">
        <v>916</v>
      </c>
      <c r="AF303" s="324"/>
      <c r="AG303" s="324"/>
      <c r="AH303" s="321" t="e">
        <f>#REF!</f>
        <v>#REF!</v>
      </c>
      <c r="AI303" s="321" t="e">
        <f>#REF!</f>
        <v>#REF!</v>
      </c>
      <c r="AJ303" s="324"/>
      <c r="AK303" s="321" t="e">
        <f>#REF!</f>
        <v>#REF!</v>
      </c>
      <c r="AL303" s="321" t="e">
        <f>#REF!</f>
        <v>#REF!</v>
      </c>
      <c r="AM303" s="321" t="e">
        <f>#REF!</f>
        <v>#REF!</v>
      </c>
    </row>
    <row r="304" spans="1:46" ht="27" customHeight="1">
      <c r="D304" s="1">
        <v>36</v>
      </c>
      <c r="AB304" s="313"/>
      <c r="AC304" s="900" t="s">
        <v>934</v>
      </c>
      <c r="AD304" s="900"/>
      <c r="AE304" s="312" t="s">
        <v>633</v>
      </c>
      <c r="AF304" s="324"/>
      <c r="AG304" s="324"/>
      <c r="AH304" s="321" t="e">
        <f>#REF!</f>
        <v>#REF!</v>
      </c>
      <c r="AI304" s="321" t="e">
        <f>#REF!</f>
        <v>#REF!</v>
      </c>
      <c r="AJ304" s="324"/>
      <c r="AK304" s="321" t="e">
        <f>#REF!</f>
        <v>#REF!</v>
      </c>
      <c r="AL304" s="321" t="e">
        <f>#REF!</f>
        <v>#REF!</v>
      </c>
      <c r="AM304" s="321" t="e">
        <f>#REF!</f>
        <v>#REF!</v>
      </c>
    </row>
    <row r="305" spans="4:43" ht="31.5" customHeight="1">
      <c r="D305" s="1">
        <v>42</v>
      </c>
      <c r="AB305" s="313" t="s">
        <v>534</v>
      </c>
      <c r="AC305" s="900" t="s">
        <v>937</v>
      </c>
      <c r="AD305" s="900"/>
      <c r="AE305" s="312" t="s">
        <v>916</v>
      </c>
      <c r="AF305" s="324"/>
      <c r="AG305" s="324"/>
      <c r="AH305" s="321" t="e">
        <f>#REF!</f>
        <v>#REF!</v>
      </c>
      <c r="AI305" s="321" t="e">
        <f>#REF!</f>
        <v>#REF!</v>
      </c>
      <c r="AJ305" s="324"/>
      <c r="AK305" s="321" t="e">
        <f>#REF!</f>
        <v>#REF!</v>
      </c>
      <c r="AL305" s="321" t="e">
        <f>#REF!</f>
        <v>#REF!</v>
      </c>
      <c r="AM305" s="321" t="e">
        <f>#REF!</f>
        <v>#REF!</v>
      </c>
    </row>
    <row r="306" spans="4:43" ht="31.5" customHeight="1">
      <c r="D306" s="1">
        <v>42</v>
      </c>
      <c r="AB306" s="313" t="s">
        <v>528</v>
      </c>
      <c r="AC306" s="900" t="s">
        <v>1440</v>
      </c>
      <c r="AD306" s="900"/>
      <c r="AE306" s="312"/>
      <c r="AF306" s="324"/>
      <c r="AG306" s="324"/>
      <c r="AH306" s="321" t="e">
        <f>#REF!</f>
        <v>#REF!</v>
      </c>
      <c r="AI306" s="321" t="e">
        <f>#REF!</f>
        <v>#REF!</v>
      </c>
      <c r="AJ306" s="324"/>
      <c r="AK306" s="321" t="e">
        <f>#REF!</f>
        <v>#REF!</v>
      </c>
      <c r="AL306" s="321" t="e">
        <f>#REF!</f>
        <v>#REF!</v>
      </c>
      <c r="AM306" s="321" t="e">
        <f>#REF!</f>
        <v>#REF!</v>
      </c>
    </row>
    <row r="307" spans="4:43" ht="31.5" customHeight="1">
      <c r="D307" s="1">
        <v>42</v>
      </c>
      <c r="AB307" s="313" t="s">
        <v>530</v>
      </c>
      <c r="AC307" s="900" t="s">
        <v>938</v>
      </c>
      <c r="AD307" s="900"/>
      <c r="AE307" s="312"/>
      <c r="AF307" s="324"/>
      <c r="AG307" s="324"/>
      <c r="AH307" s="321" t="e">
        <f>#REF!</f>
        <v>#REF!</v>
      </c>
      <c r="AI307" s="321" t="e">
        <f>#REF!</f>
        <v>#REF!</v>
      </c>
      <c r="AJ307" s="324"/>
      <c r="AK307" s="321" t="e">
        <f>#REF!</f>
        <v>#REF!</v>
      </c>
      <c r="AL307" s="321" t="e">
        <f>#REF!</f>
        <v>#REF!</v>
      </c>
      <c r="AM307" s="321" t="e">
        <f>#REF!</f>
        <v>#REF!</v>
      </c>
    </row>
    <row r="308" spans="4:43" ht="31.5" customHeight="1">
      <c r="D308" s="1">
        <v>42</v>
      </c>
      <c r="AB308" s="313"/>
      <c r="AC308" s="900" t="s">
        <v>934</v>
      </c>
      <c r="AD308" s="900"/>
      <c r="AE308" s="312"/>
      <c r="AF308" s="324"/>
      <c r="AG308" s="324"/>
      <c r="AH308" s="321" t="e">
        <f>#REF!</f>
        <v>#REF!</v>
      </c>
      <c r="AI308" s="321" t="e">
        <f>#REF!</f>
        <v>#REF!</v>
      </c>
      <c r="AJ308" s="324"/>
      <c r="AK308" s="321" t="e">
        <f>#REF!</f>
        <v>#REF!</v>
      </c>
      <c r="AL308" s="321" t="e">
        <f>#REF!</f>
        <v>#REF!</v>
      </c>
      <c r="AM308" s="321" t="e">
        <f>#REF!</f>
        <v>#REF!</v>
      </c>
    </row>
    <row r="309" spans="4:43" ht="31.5" customHeight="1">
      <c r="D309" s="1">
        <v>42</v>
      </c>
      <c r="AB309" s="313" t="s">
        <v>534</v>
      </c>
      <c r="AC309" s="900" t="s">
        <v>937</v>
      </c>
      <c r="AD309" s="900"/>
      <c r="AE309" s="312"/>
      <c r="AF309" s="324"/>
      <c r="AG309" s="324"/>
      <c r="AH309" s="321" t="e">
        <f>#REF!</f>
        <v>#REF!</v>
      </c>
      <c r="AI309" s="321" t="e">
        <f>#REF!</f>
        <v>#REF!</v>
      </c>
      <c r="AJ309" s="324"/>
      <c r="AK309" s="321" t="e">
        <f>#REF!</f>
        <v>#REF!</v>
      </c>
      <c r="AL309" s="321" t="e">
        <f>#REF!</f>
        <v>#REF!</v>
      </c>
      <c r="AM309" s="321" t="e">
        <f>#REF!</f>
        <v>#REF!</v>
      </c>
    </row>
    <row r="310" spans="4:43" ht="33.75" customHeight="1">
      <c r="D310" s="1">
        <v>45</v>
      </c>
    </row>
    <row r="311" spans="4:43" ht="18" customHeight="1">
      <c r="D311" s="1">
        <v>24</v>
      </c>
      <c r="AB311" s="894" t="e">
        <f>"На "&amp;PRD&amp;" год поступление в сеть электроэнергии планируется "&amp;IF(AL302&gt;AJ302,"с ростом ","со снижением")&amp;" по отношению к утверждённому поступлению в сеть на "&amp;PRD-1&amp;" год (на "&amp;IF(AJ302=0,0,ROUND(1-AL302/AJ302,2))&amp;"%)"</f>
        <v>#REF!</v>
      </c>
      <c r="AC311" s="894"/>
      <c r="AD311" s="894"/>
      <c r="AE311" s="894"/>
      <c r="AF311" s="894"/>
      <c r="AG311" s="894"/>
      <c r="AH311" s="894"/>
      <c r="AI311" s="894"/>
      <c r="AJ311" s="894"/>
      <c r="AK311" s="894"/>
      <c r="AL311" s="894"/>
      <c r="AM311" s="894"/>
      <c r="AN311" s="894"/>
      <c r="AO311" s="894"/>
      <c r="AP311" s="894"/>
      <c r="AQ311" s="894"/>
    </row>
    <row r="312" spans="4:43" ht="39" customHeight="1">
      <c r="D312" s="1">
        <v>52</v>
      </c>
      <c r="AB312" s="894" t="e">
        <f>"Потери на "&amp;PRD&amp;" год рассчитаны в соответствии с п. 40 (1) Основ ценообразования и приказом Минэнерго России от 26.09.2017 № 887 и составляют "&amp;AL303&amp;" млн. кВтч или "&amp;ROUND(AL304,2)&amp;"% от поступления в сеть. По отношению к утверждённым на "&amp;PRD-1&amp;" год потери "&amp;IF(AL303&lt;AJ303,"ниже на "&amp;ROUND(AL303-AJ303,2)&amp;" млн. кВтч ( "&amp;IF(AJ303=0,0,ROUND(AL303/AJ303,2))&amp;"%).",IF(AL303=AJ303,"равны","выше на "&amp;ROUND(AL303-AJ303,2)&amp;" млн. кВтч ( "&amp;IF(AJ303=0,0,ROUND(AL303/AJ303,2))&amp;"%)."))</f>
        <v>#REF!</v>
      </c>
      <c r="AC312" s="894"/>
      <c r="AD312" s="894"/>
      <c r="AE312" s="894"/>
      <c r="AF312" s="894"/>
      <c r="AG312" s="894"/>
      <c r="AH312" s="894"/>
      <c r="AI312" s="894"/>
      <c r="AJ312" s="894"/>
      <c r="AK312" s="894"/>
      <c r="AL312" s="894"/>
      <c r="AM312" s="894"/>
      <c r="AN312" s="894"/>
      <c r="AO312" s="894"/>
      <c r="AP312" s="894"/>
      <c r="AQ312" s="894"/>
    </row>
    <row r="313" spans="4:43" ht="18.75" hidden="1" customHeight="1">
      <c r="D313" s="1">
        <v>0</v>
      </c>
      <c r="AB313" s="391" t="e">
        <f>IF(AL303&lt;AJ303,-1,IF(AL303=AJ303,0,1))</f>
        <v>#REF!</v>
      </c>
      <c r="AC313" s="391"/>
      <c r="AD313" s="391"/>
      <c r="AE313" s="391"/>
      <c r="AF313" s="391"/>
      <c r="AG313" s="391"/>
      <c r="AH313" s="391"/>
      <c r="AI313" s="391"/>
      <c r="AJ313" s="391"/>
      <c r="AK313" s="391"/>
      <c r="AL313" s="391"/>
      <c r="AM313" s="391"/>
      <c r="AN313" s="391"/>
      <c r="AO313" s="391"/>
      <c r="AP313" s="391"/>
      <c r="AQ313" s="391"/>
    </row>
    <row r="314" spans="4:43" ht="27" customHeight="1">
      <c r="D314" s="1">
        <v>36</v>
      </c>
      <c r="AB314" s="894" t="e">
        <f>IF(AB313&lt;0,"Снижение потерь на "&amp;PRD&amp;" по отношению к утверждённой величине "&amp;PRD-1&amp;" года связан с увеличением процента потерь. Соответственно, полезный отпуск на "&amp;PRD&amp;" год по отношению к утверждённому на "&amp;PRD-1&amp;" год ниже на "&amp;ROUND(AL302-AJ302,2)&amp;" млн. кВтч ("&amp;IF(AJ302=0,0,ROUND(AL302/AJ302,2))&amp;"%).",IF(AB313&gt;0,"Увеличение потерь на "&amp;PRD&amp;" по отношению к утверждённой величине "&amp;PRD-1&amp;" года связан с ууменьшением процента потерь. Соответственно, полезный отпуск на "&amp;PRD&amp;"год по отношению к утверждённому на "&amp;PRD-1&amp;" год  выше на "&amp;ROUND(AL302-AJ302,2)&amp;" млн. кВтч ("&amp;IF(AJ302=0,0,ROUND(AL302/AJ302,2))&amp;"%).",""))</f>
        <v>#REF!</v>
      </c>
      <c r="AC314" s="894"/>
      <c r="AD314" s="894"/>
      <c r="AE314" s="894"/>
      <c r="AF314" s="894"/>
      <c r="AG314" s="894"/>
      <c r="AH314" s="894"/>
      <c r="AI314" s="894"/>
      <c r="AJ314" s="894"/>
      <c r="AK314" s="894"/>
      <c r="AL314" s="894"/>
      <c r="AM314" s="894"/>
      <c r="AN314" s="894"/>
      <c r="AO314" s="894"/>
      <c r="AP314" s="894"/>
      <c r="AQ314" s="894"/>
    </row>
    <row r="315" spans="4:43" ht="21.75" customHeight="1">
      <c r="D315" s="1">
        <v>29</v>
      </c>
      <c r="AB315" s="1024" t="s">
        <v>1640</v>
      </c>
      <c r="AC315" s="1024"/>
      <c r="AD315" s="1024"/>
      <c r="AE315" s="1024"/>
      <c r="AF315" s="1024"/>
      <c r="AG315" s="1024"/>
      <c r="AH315" s="1024"/>
      <c r="AI315" s="1024"/>
      <c r="AJ315" s="1024"/>
      <c r="AK315" s="1024"/>
      <c r="AL315" s="1024"/>
      <c r="AM315" s="1024"/>
      <c r="AN315" s="1024"/>
      <c r="AO315" s="1024"/>
      <c r="AP315" s="1024"/>
      <c r="AQ315" s="1024"/>
    </row>
    <row r="316" spans="4:43" ht="39" customHeight="1">
      <c r="D316" s="1">
        <v>52</v>
      </c>
      <c r="AB316" s="894" t="e">
        <f>"Плановая цена (тариф) покупки потерь электрической энергии на "&amp;PRD&amp;" год определена в соответствии с абзацем 8 пункта 81 Основ ценообразования в размере "&amp;#REF!&amp;" руб./МВт*ч. На 1 полугодие и "&amp;#REF!&amp;" руб./МВт*ч. на 2 полугодие"</f>
        <v>#REF!</v>
      </c>
      <c r="AC316" s="894"/>
      <c r="AD316" s="894"/>
      <c r="AE316" s="894"/>
      <c r="AF316" s="894"/>
      <c r="AG316" s="894"/>
      <c r="AH316" s="894"/>
      <c r="AI316" s="894"/>
      <c r="AJ316" s="894"/>
      <c r="AK316" s="894"/>
      <c r="AL316" s="894"/>
      <c r="AM316" s="894"/>
      <c r="AN316" s="894"/>
      <c r="AO316" s="894"/>
      <c r="AP316" s="894"/>
      <c r="AQ316" s="894"/>
    </row>
    <row r="317" spans="4:43" ht="21.75" customHeight="1">
      <c r="D317" s="1">
        <v>29</v>
      </c>
      <c r="AB317" s="894"/>
      <c r="AC317" s="894"/>
      <c r="AD317" s="894"/>
      <c r="AE317" s="894"/>
      <c r="AF317" s="894"/>
      <c r="AG317" s="894"/>
      <c r="AH317" s="894"/>
      <c r="AI317" s="894"/>
      <c r="AJ317" s="894"/>
      <c r="AK317" s="894"/>
      <c r="AL317" s="894"/>
      <c r="AM317" s="894"/>
      <c r="AN317" s="894"/>
      <c r="AO317" s="894"/>
      <c r="AP317" s="894"/>
      <c r="AQ317" s="894"/>
    </row>
    <row r="318" spans="4:43" ht="28.5" hidden="1" customHeight="1">
      <c r="D318" s="1">
        <v>0</v>
      </c>
    </row>
    <row r="319" spans="4:43" ht="31.5" customHeight="1">
      <c r="D319" s="1">
        <v>42</v>
      </c>
      <c r="AB319" s="940" t="s">
        <v>1641</v>
      </c>
      <c r="AC319" s="781"/>
      <c r="AD319" s="781"/>
      <c r="AE319" s="781"/>
      <c r="AF319" s="781"/>
      <c r="AG319" s="781"/>
      <c r="AH319" s="781"/>
      <c r="AI319" s="781"/>
      <c r="AJ319" s="781"/>
      <c r="AK319" s="781"/>
      <c r="AL319" s="781"/>
      <c r="AM319" s="781"/>
      <c r="AN319" s="781"/>
      <c r="AO319" s="781"/>
      <c r="AP319" s="781"/>
      <c r="AQ319" s="781"/>
    </row>
    <row r="320" spans="4:43" ht="13.5" customHeight="1">
      <c r="D320" s="1">
        <v>18</v>
      </c>
    </row>
    <row r="321" spans="4:43" ht="17.25" customHeight="1">
      <c r="D321" s="1">
        <v>23</v>
      </c>
      <c r="AB321" s="940" t="s">
        <v>1642</v>
      </c>
      <c r="AC321" s="781"/>
      <c r="AD321" s="781"/>
      <c r="AE321" s="781"/>
      <c r="AF321" s="781"/>
      <c r="AG321" s="781"/>
      <c r="AH321" s="781"/>
      <c r="AI321" s="781"/>
      <c r="AJ321" s="781"/>
      <c r="AK321" s="781"/>
      <c r="AL321" s="781"/>
      <c r="AM321" s="781"/>
      <c r="AN321" s="781"/>
      <c r="AO321" s="781"/>
      <c r="AP321" s="781"/>
      <c r="AQ321" s="781"/>
    </row>
    <row r="322" spans="4:43" ht="17.25" customHeight="1">
      <c r="D322" s="1">
        <v>23</v>
      </c>
    </row>
    <row r="323" spans="4:43" ht="237.75" customHeight="1">
      <c r="D323" s="1">
        <v>317</v>
      </c>
      <c r="AB323" s="894" t="s">
        <v>1643</v>
      </c>
      <c r="AC323" s="894"/>
      <c r="AD323" s="894"/>
      <c r="AE323" s="894"/>
      <c r="AF323" s="894"/>
      <c r="AG323" s="894"/>
      <c r="AH323" s="894"/>
      <c r="AI323" s="894"/>
      <c r="AJ323" s="894"/>
      <c r="AK323" s="894"/>
      <c r="AL323" s="894"/>
      <c r="AM323" s="894"/>
      <c r="AN323" s="894"/>
      <c r="AO323" s="894"/>
      <c r="AP323" s="894"/>
      <c r="AQ323" s="894"/>
    </row>
    <row r="324" spans="4:43" ht="27" customHeight="1">
      <c r="D324" s="1">
        <v>36</v>
      </c>
      <c r="AB324" s="959" t="s">
        <v>1644</v>
      </c>
      <c r="AC324" s="959"/>
      <c r="AD324" s="959"/>
      <c r="AE324" s="959"/>
      <c r="AF324" s="959"/>
      <c r="AG324" s="959"/>
      <c r="AH324" s="959"/>
      <c r="AI324" s="959"/>
      <c r="AJ324" s="959"/>
      <c r="AK324" s="959"/>
      <c r="AL324" s="959"/>
      <c r="AM324" s="959"/>
      <c r="AN324" s="959"/>
      <c r="AO324" s="959"/>
      <c r="AP324" s="959"/>
      <c r="AQ324" s="959"/>
    </row>
    <row r="325" spans="4:43" ht="21" customHeight="1" outlineLevel="1">
      <c r="D325" s="1">
        <v>28</v>
      </c>
      <c r="AB325" s="894" t="s">
        <v>1645</v>
      </c>
      <c r="AC325" s="894"/>
      <c r="AD325" s="894"/>
      <c r="AE325" s="894"/>
      <c r="AF325" s="894"/>
      <c r="AG325" s="894"/>
      <c r="AH325" s="894"/>
      <c r="AI325" s="894"/>
      <c r="AJ325" s="894"/>
      <c r="AK325" s="894"/>
      <c r="AL325" s="894"/>
      <c r="AM325" s="894"/>
      <c r="AN325" s="894"/>
      <c r="AO325" s="894"/>
      <c r="AP325" s="894"/>
      <c r="AQ325" s="894"/>
    </row>
    <row r="326" spans="4:43" ht="21" customHeight="1" outlineLevel="1">
      <c r="D326" s="1">
        <v>28</v>
      </c>
      <c r="AB326" s="894" t="s">
        <v>1646</v>
      </c>
      <c r="AC326" s="894"/>
      <c r="AD326" s="894"/>
      <c r="AE326" s="894"/>
      <c r="AF326" s="894"/>
      <c r="AG326" s="894"/>
      <c r="AH326" s="894"/>
      <c r="AI326" s="894"/>
      <c r="AJ326" s="894"/>
      <c r="AK326" s="894"/>
      <c r="AL326" s="894"/>
      <c r="AM326" s="894"/>
      <c r="AN326" s="894"/>
      <c r="AO326" s="894"/>
      <c r="AP326" s="894"/>
      <c r="AQ326" s="894"/>
    </row>
    <row r="327" spans="4:43" ht="67.5" customHeight="1" outlineLevel="1">
      <c r="D327" s="1">
        <v>90</v>
      </c>
      <c r="AB327" s="894" t="s">
        <v>1647</v>
      </c>
      <c r="AC327" s="894"/>
      <c r="AD327" s="894"/>
      <c r="AE327" s="894"/>
      <c r="AF327" s="894"/>
      <c r="AG327" s="894"/>
      <c r="AH327" s="894"/>
      <c r="AI327" s="894"/>
      <c r="AJ327" s="894"/>
      <c r="AK327" s="894"/>
      <c r="AL327" s="894"/>
      <c r="AM327" s="894"/>
      <c r="AN327" s="894"/>
      <c r="AO327" s="894"/>
      <c r="AP327" s="894"/>
      <c r="AQ327" s="894"/>
    </row>
    <row r="328" spans="4:43" ht="21" customHeight="1" outlineLevel="1">
      <c r="D328" s="1">
        <v>28</v>
      </c>
      <c r="AB328" s="894" t="s">
        <v>1648</v>
      </c>
      <c r="AC328" s="894"/>
      <c r="AD328" s="894"/>
      <c r="AE328" s="894"/>
      <c r="AF328" s="894"/>
      <c r="AG328" s="894"/>
      <c r="AH328" s="894"/>
      <c r="AI328" s="894"/>
      <c r="AJ328" s="894"/>
      <c r="AK328" s="894"/>
      <c r="AL328" s="894"/>
      <c r="AM328" s="894"/>
      <c r="AN328" s="894"/>
      <c r="AO328" s="894"/>
      <c r="AP328" s="894"/>
      <c r="AQ328" s="894"/>
    </row>
    <row r="329" spans="4:43" ht="21" customHeight="1" outlineLevel="1">
      <c r="D329" s="1">
        <v>28</v>
      </c>
      <c r="AB329" s="894"/>
      <c r="AC329" s="894"/>
      <c r="AD329" s="894"/>
      <c r="AE329" s="894"/>
      <c r="AF329" s="894"/>
      <c r="AG329" s="894"/>
      <c r="AH329" s="894"/>
      <c r="AI329" s="894"/>
      <c r="AJ329" s="894"/>
      <c r="AK329" s="894"/>
      <c r="AL329" s="894"/>
      <c r="AM329" s="894"/>
      <c r="AN329" s="894"/>
      <c r="AO329" s="894"/>
      <c r="AP329" s="894"/>
      <c r="AQ329" s="894"/>
    </row>
    <row r="330" spans="4:43" ht="33.75" customHeight="1">
      <c r="D330" s="1">
        <v>45</v>
      </c>
      <c r="AC330" s="976"/>
      <c r="AD330" s="976"/>
      <c r="AE330" s="976"/>
      <c r="AF330" s="976"/>
      <c r="AG330" s="976"/>
      <c r="AH330" s="329">
        <f>PRD-4</f>
        <v>2022</v>
      </c>
      <c r="AI330" s="329">
        <f>PRD-3</f>
        <v>2023</v>
      </c>
      <c r="AJ330" s="329">
        <f>PRD-2</f>
        <v>2024</v>
      </c>
      <c r="AK330" s="329">
        <f>PRD-1</f>
        <v>2025</v>
      </c>
      <c r="AL330" s="329">
        <f>PRD</f>
        <v>2026</v>
      </c>
    </row>
    <row r="331" spans="4:43" ht="33.75" customHeight="1">
      <c r="D331" s="1">
        <v>45</v>
      </c>
      <c r="AC331" s="986" t="s">
        <v>945</v>
      </c>
      <c r="AD331" s="986"/>
      <c r="AE331" s="986"/>
      <c r="AF331" s="986"/>
      <c r="AG331" s="313" t="s">
        <v>633</v>
      </c>
      <c r="AH331" s="392"/>
      <c r="AI331" s="393" t="e">
        <f>#REF!</f>
        <v>#REF!</v>
      </c>
      <c r="AJ331" s="393" t="e">
        <f>#REF!</f>
        <v>#REF!</v>
      </c>
      <c r="AK331" s="393" t="e">
        <f>#REF!</f>
        <v>#REF!</v>
      </c>
      <c r="AL331" s="393" t="e">
        <f>#REF!</f>
        <v>#REF!</v>
      </c>
    </row>
    <row r="332" spans="4:43" ht="33.75" customHeight="1">
      <c r="D332" s="1">
        <v>45</v>
      </c>
      <c r="AC332" s="986" t="s">
        <v>952</v>
      </c>
      <c r="AD332" s="986" t="s">
        <v>633</v>
      </c>
      <c r="AE332" s="986"/>
      <c r="AF332" s="986"/>
      <c r="AG332" s="313" t="s">
        <v>633</v>
      </c>
      <c r="AH332" s="392"/>
      <c r="AI332" s="393" t="e">
        <f>#REF!</f>
        <v>#REF!</v>
      </c>
      <c r="AJ332" s="393" t="e">
        <f>#REF!</f>
        <v>#REF!</v>
      </c>
      <c r="AK332" s="392"/>
      <c r="AL332" s="392"/>
    </row>
    <row r="333" spans="4:43" ht="33.75" customHeight="1">
      <c r="D333" s="1">
        <v>45</v>
      </c>
      <c r="AC333" s="986" t="s">
        <v>946</v>
      </c>
      <c r="AD333" s="986" t="s">
        <v>696</v>
      </c>
      <c r="AE333" s="986"/>
      <c r="AF333" s="986"/>
      <c r="AG333" s="313" t="s">
        <v>633</v>
      </c>
      <c r="AH333" s="392"/>
      <c r="AI333" s="393" t="e">
        <f>#REF!</f>
        <v>#REF!</v>
      </c>
      <c r="AJ333" s="393" t="e">
        <f>#REF!</f>
        <v>#REF!</v>
      </c>
      <c r="AK333" s="393" t="e">
        <f>#REF!</f>
        <v>#REF!</v>
      </c>
      <c r="AL333" s="393" t="e">
        <f>#REF!</f>
        <v>#REF!</v>
      </c>
    </row>
    <row r="334" spans="4:43" ht="33.75" customHeight="1">
      <c r="D334" s="1">
        <v>45</v>
      </c>
      <c r="AC334" s="986" t="s">
        <v>948</v>
      </c>
      <c r="AD334" s="986" t="s">
        <v>633</v>
      </c>
      <c r="AE334" s="986"/>
      <c r="AF334" s="986"/>
      <c r="AG334" s="313" t="s">
        <v>696</v>
      </c>
      <c r="AH334" s="392"/>
      <c r="AI334" s="393" t="e">
        <f>#REF!</f>
        <v>#REF!</v>
      </c>
      <c r="AJ334" s="393" t="e">
        <f>#REF!</f>
        <v>#REF!</v>
      </c>
      <c r="AK334" s="393" t="e">
        <f>#REF!</f>
        <v>#REF!</v>
      </c>
      <c r="AL334" s="393" t="e">
        <f>#REF!</f>
        <v>#REF!</v>
      </c>
    </row>
    <row r="335" spans="4:43" ht="33.75" customHeight="1">
      <c r="D335" s="1">
        <v>45</v>
      </c>
      <c r="AC335" s="986" t="s">
        <v>949</v>
      </c>
      <c r="AD335" s="986"/>
      <c r="AE335" s="986"/>
      <c r="AF335" s="986"/>
      <c r="AG335" s="313" t="s">
        <v>633</v>
      </c>
      <c r="AH335" s="392"/>
      <c r="AI335" s="393" t="e">
        <f>#REF!</f>
        <v>#REF!</v>
      </c>
      <c r="AJ335" s="393" t="e">
        <f>#REF!</f>
        <v>#REF!</v>
      </c>
      <c r="AK335" s="393" t="e">
        <f>#REF!</f>
        <v>#REF!</v>
      </c>
      <c r="AL335" s="393" t="e">
        <f>#REF!</f>
        <v>#REF!</v>
      </c>
    </row>
    <row r="336" spans="4:43" ht="33.75" customHeight="1">
      <c r="D336" s="1">
        <v>45</v>
      </c>
      <c r="AC336" s="986" t="s">
        <v>950</v>
      </c>
      <c r="AD336" s="986"/>
      <c r="AE336" s="986"/>
      <c r="AF336" s="986"/>
      <c r="AG336" s="313"/>
      <c r="AH336" s="392"/>
      <c r="AI336" s="394">
        <v>0.75</v>
      </c>
      <c r="AJ336" s="394">
        <v>0.75</v>
      </c>
      <c r="AK336" s="394">
        <v>0.75</v>
      </c>
      <c r="AL336" s="394">
        <v>0.75</v>
      </c>
    </row>
    <row r="337" spans="4:43" ht="33.75" customHeight="1">
      <c r="D337" s="1">
        <v>45</v>
      </c>
      <c r="AC337" s="986" t="s">
        <v>951</v>
      </c>
      <c r="AD337" s="986" t="s">
        <v>984</v>
      </c>
      <c r="AE337" s="986"/>
      <c r="AF337" s="986"/>
      <c r="AG337" s="312"/>
      <c r="AH337" s="392"/>
      <c r="AI337" s="393" t="e">
        <f>#REF!</f>
        <v>#REF!</v>
      </c>
      <c r="AJ337" s="393" t="e">
        <f>#REF!</f>
        <v>#REF!</v>
      </c>
      <c r="AK337" s="393" t="e">
        <f>#REF!</f>
        <v>#REF!</v>
      </c>
      <c r="AL337" s="393" t="e">
        <f>#REF!</f>
        <v>#REF!</v>
      </c>
    </row>
    <row r="338" spans="4:43" ht="33.75" customHeight="1">
      <c r="D338" s="1">
        <v>45</v>
      </c>
      <c r="AC338" s="986" t="s">
        <v>1649</v>
      </c>
      <c r="AD338" s="986" t="s">
        <v>984</v>
      </c>
      <c r="AE338" s="986"/>
      <c r="AF338" s="986"/>
      <c r="AG338" s="312" t="s">
        <v>619</v>
      </c>
      <c r="AH338" s="393">
        <f>IF(GOD_BAZUR=PRD-4,#REF!,0)</f>
        <v>0</v>
      </c>
      <c r="AI338" s="393">
        <f>IF(GOD_BAZUR=PRD-3,#REF!,0)</f>
        <v>0</v>
      </c>
      <c r="AJ338" s="393">
        <f>IF(GOD_BAZUR=PRD-2,#REF!,0)</f>
        <v>0</v>
      </c>
      <c r="AK338" s="393">
        <f>IF(GOD_BAZUR=PRD-1,#REF!,0)</f>
        <v>0</v>
      </c>
      <c r="AL338" s="392"/>
    </row>
    <row r="339" spans="4:43" ht="33.75" customHeight="1">
      <c r="D339" s="1">
        <v>45</v>
      </c>
      <c r="AC339" s="986" t="s">
        <v>984</v>
      </c>
      <c r="AD339" s="986" t="s">
        <v>984</v>
      </c>
      <c r="AE339" s="986"/>
      <c r="AF339" s="986"/>
      <c r="AG339" s="312" t="s">
        <v>619</v>
      </c>
      <c r="AH339" s="392"/>
      <c r="AI339" s="392"/>
      <c r="AJ339" s="392"/>
      <c r="AK339" s="392"/>
      <c r="AL339" s="393" t="e">
        <f>#REF!</f>
        <v>#REF!</v>
      </c>
    </row>
    <row r="340" spans="4:43" ht="17.25" customHeight="1">
      <c r="D340" s="1">
        <v>23</v>
      </c>
      <c r="AB340" s="940" t="s">
        <v>1495</v>
      </c>
      <c r="AC340" s="781"/>
      <c r="AD340" s="781"/>
      <c r="AE340" s="781"/>
      <c r="AF340" s="781"/>
      <c r="AG340" s="781"/>
      <c r="AH340" s="781"/>
      <c r="AI340" s="781"/>
      <c r="AJ340" s="781"/>
      <c r="AK340" s="781"/>
      <c r="AL340" s="781"/>
      <c r="AM340" s="781"/>
      <c r="AN340" s="781"/>
      <c r="AO340" s="781"/>
      <c r="AP340" s="781"/>
      <c r="AQ340" s="781"/>
    </row>
    <row r="341" spans="4:43" ht="15.75" customHeight="1">
      <c r="D341" s="1">
        <v>21</v>
      </c>
    </row>
    <row r="342" spans="4:43" ht="19.5" customHeight="1">
      <c r="D342" s="1">
        <v>26</v>
      </c>
      <c r="AB342" s="894" t="e">
        <f>"Плановые неподконтрольные расходы на "&amp;Титульный!AC34&amp;" год приняты в размере "&amp;ROUND(#REF!,2)&amp;" тыс. руб."</f>
        <v>#REF!</v>
      </c>
      <c r="AC342" s="894"/>
      <c r="AD342" s="894"/>
      <c r="AE342" s="894"/>
      <c r="AF342" s="894"/>
      <c r="AG342" s="894"/>
      <c r="AH342" s="894"/>
      <c r="AI342" s="894"/>
      <c r="AJ342" s="894"/>
      <c r="AK342" s="894"/>
      <c r="AL342" s="894"/>
      <c r="AM342" s="894"/>
      <c r="AN342" s="894"/>
      <c r="AO342" s="894"/>
      <c r="AP342" s="894"/>
      <c r="AQ342" s="894"/>
    </row>
    <row r="343" spans="4:43" ht="19.5" customHeight="1">
      <c r="D343" s="1">
        <v>26</v>
      </c>
      <c r="AB343" s="894" t="e">
        <f>"ТСО предложено принять расходы в размере "&amp;ROUND(#REF!,2)&amp;" тыс. руб."</f>
        <v>#REF!</v>
      </c>
      <c r="AC343" s="894"/>
      <c r="AD343" s="894"/>
      <c r="AE343" s="894"/>
      <c r="AF343" s="894"/>
      <c r="AG343" s="894"/>
      <c r="AH343" s="894"/>
      <c r="AI343" s="894"/>
      <c r="AJ343" s="894"/>
      <c r="AK343" s="894"/>
      <c r="AL343" s="894"/>
      <c r="AM343" s="894"/>
      <c r="AN343" s="894"/>
      <c r="AO343" s="894"/>
      <c r="AP343" s="894"/>
      <c r="AQ343" s="894"/>
    </row>
    <row r="344" spans="4:43" ht="19.5" customHeight="1">
      <c r="D344" s="1">
        <v>26</v>
      </c>
      <c r="AB344" s="894" t="str">
        <f>"Неподконтрольные расходы на "&amp;Титульный!AC34&amp;" год определены с учетом следующего:"</f>
        <v>Неподконтрольные расходы на 2026 год определены с учетом следующего:</v>
      </c>
      <c r="AC344" s="894"/>
      <c r="AD344" s="894"/>
      <c r="AE344" s="894"/>
      <c r="AF344" s="894"/>
      <c r="AG344" s="894"/>
      <c r="AH344" s="894"/>
      <c r="AI344" s="894"/>
      <c r="AJ344" s="894"/>
      <c r="AK344" s="894"/>
      <c r="AL344" s="894"/>
      <c r="AM344" s="894"/>
      <c r="AN344" s="894"/>
      <c r="AO344" s="894"/>
      <c r="AP344" s="894"/>
      <c r="AQ344" s="894"/>
    </row>
    <row r="345" spans="4:43" ht="23.25" customHeight="1">
      <c r="D345" s="1">
        <v>31</v>
      </c>
    </row>
    <row r="346" spans="4:43" ht="23.25" customHeight="1">
      <c r="D346">
        <v>31</v>
      </c>
    </row>
    <row r="347" spans="4:43" ht="23.25" customHeight="1">
      <c r="D347">
        <v>31</v>
      </c>
    </row>
    <row r="348" spans="4:43" ht="19.5" customHeight="1" outlineLevel="1">
      <c r="D348" s="1">
        <v>26</v>
      </c>
      <c r="AA348" s="781"/>
      <c r="AB348" s="898" t="s">
        <v>1497</v>
      </c>
      <c r="AC348" s="781"/>
      <c r="AD348" s="781"/>
      <c r="AE348" s="781"/>
      <c r="AF348" s="781"/>
      <c r="AG348" s="781"/>
      <c r="AH348" s="781"/>
      <c r="AI348" s="781"/>
      <c r="AJ348" s="781"/>
      <c r="AK348" s="781"/>
      <c r="AL348" s="781"/>
      <c r="AM348" s="781"/>
      <c r="AN348" s="781"/>
      <c r="AO348" s="781"/>
      <c r="AP348" s="781"/>
      <c r="AQ348" s="781"/>
    </row>
    <row r="349" spans="4:43" ht="39" customHeight="1" outlineLevel="1">
      <c r="D349" s="1">
        <v>52</v>
      </c>
      <c r="AA349" s="781"/>
      <c r="AB349" s="896" t="e">
        <f>"Расходы по статье были утверждены на "&amp;PRD-1&amp;" год, в размере "&amp;ROUND(#REF!,2)&amp;" тыс. руб."</f>
        <v>#REF!</v>
      </c>
      <c r="AC349" s="896"/>
      <c r="AD349" s="896"/>
      <c r="AE349" s="896"/>
      <c r="AF349" s="896"/>
      <c r="AG349" s="896"/>
      <c r="AH349" s="896"/>
      <c r="AI349" s="896"/>
      <c r="AJ349" s="896"/>
      <c r="AK349" s="896"/>
      <c r="AL349" s="896"/>
      <c r="AM349" s="896"/>
      <c r="AN349" s="896"/>
      <c r="AO349" s="896"/>
      <c r="AP349" s="896"/>
      <c r="AQ349" s="896"/>
    </row>
    <row r="350" spans="4:43" ht="39" customHeight="1" outlineLevel="1">
      <c r="D350" s="1">
        <v>52</v>
      </c>
      <c r="AB350" s="896" t="e">
        <f>"Организацией предложено принять расходы на "&amp;PRD&amp;" год, в размере "&amp;ROUND(#REF!,0)&amp;" тыс. руб."</f>
        <v>#REF!</v>
      </c>
      <c r="AC350" s="896"/>
      <c r="AD350" s="896"/>
      <c r="AE350" s="896"/>
      <c r="AF350" s="896"/>
      <c r="AG350" s="896"/>
      <c r="AH350" s="896"/>
      <c r="AI350" s="896"/>
      <c r="AJ350" s="896"/>
      <c r="AK350" s="896"/>
      <c r="AL350" s="896"/>
      <c r="AM350" s="896"/>
      <c r="AN350" s="896"/>
      <c r="AO350" s="896"/>
      <c r="AP350" s="896"/>
      <c r="AQ350" s="896"/>
    </row>
    <row r="351" spans="4:43" ht="39" customHeight="1" outlineLevel="1">
      <c r="D351" s="1">
        <v>52</v>
      </c>
      <c r="AB351" s="896" t="e">
        <f>"Расходы на "&amp;PRD&amp;" год, по статье определены экспертами расчетным путем в размере "&amp;ROUND(#REF!,2)&amp;" тыс. руб. с учетом приказа "</f>
        <v>#REF!</v>
      </c>
      <c r="AC351" s="896"/>
      <c r="AD351" s="896"/>
      <c r="AE351" s="896"/>
      <c r="AF351" s="896"/>
      <c r="AG351" s="896"/>
      <c r="AH351" s="896"/>
      <c r="AI351" s="896"/>
      <c r="AJ351" s="896"/>
      <c r="AK351" s="896"/>
      <c r="AL351" s="896"/>
      <c r="AM351" s="896"/>
      <c r="AN351" s="896"/>
      <c r="AO351" s="896"/>
      <c r="AP351" s="896"/>
      <c r="AQ351" s="896"/>
    </row>
    <row r="352" spans="4:43" ht="33.75" customHeight="1" outlineLevel="1">
      <c r="D352" s="1">
        <v>45</v>
      </c>
      <c r="AB352" s="896"/>
      <c r="AC352" s="896"/>
      <c r="AD352" s="896"/>
      <c r="AE352" s="896"/>
      <c r="AF352" s="896"/>
      <c r="AG352" s="896"/>
      <c r="AH352" s="896"/>
      <c r="AI352" s="896"/>
      <c r="AJ352" s="896"/>
      <c r="AK352" s="896"/>
      <c r="AL352" s="896"/>
      <c r="AM352" s="896"/>
      <c r="AN352" s="896"/>
      <c r="AO352" s="896"/>
      <c r="AP352" s="896"/>
      <c r="AQ352" s="896"/>
    </row>
    <row r="353" spans="4:43" ht="33.75" customHeight="1" outlineLevel="1">
      <c r="D353">
        <v>45</v>
      </c>
      <c r="AB353" s="890"/>
      <c r="AC353" s="890"/>
      <c r="AD353" s="890"/>
      <c r="AE353" s="890"/>
      <c r="AF353" s="890"/>
      <c r="AG353" s="890"/>
      <c r="AH353" s="890"/>
      <c r="AI353" s="890"/>
      <c r="AJ353" s="890"/>
      <c r="AK353" s="890"/>
      <c r="AL353" s="890"/>
      <c r="AM353" s="890"/>
      <c r="AN353" s="890"/>
      <c r="AO353" s="890"/>
      <c r="AP353" s="890"/>
      <c r="AQ353" s="890"/>
    </row>
    <row r="354" spans="4:43" ht="33.75" customHeight="1" outlineLevel="1">
      <c r="D354" s="1">
        <v>45</v>
      </c>
      <c r="AB354" s="338"/>
      <c r="AC354" s="900" t="s">
        <v>608</v>
      </c>
      <c r="AD354" s="900"/>
      <c r="AE354" s="900"/>
      <c r="AF354" s="313" t="s">
        <v>1498</v>
      </c>
      <c r="AG354" s="903" t="e">
        <f>#REF!</f>
        <v>#REF!</v>
      </c>
      <c r="AH354" s="903"/>
      <c r="AI354" s="904" t="e">
        <f>#REF!</f>
        <v>#REF!</v>
      </c>
      <c r="AJ354" s="904"/>
      <c r="AK354" s="338"/>
      <c r="AL354" s="338"/>
      <c r="AM354" s="338"/>
      <c r="AN354" s="338"/>
      <c r="AO354" s="338"/>
      <c r="AP354" s="338"/>
      <c r="AQ354" s="338"/>
    </row>
    <row r="355" spans="4:43" ht="33.75" customHeight="1" outlineLevel="1">
      <c r="D355" s="1">
        <v>45</v>
      </c>
      <c r="AB355" s="338"/>
      <c r="AC355" s="900" t="s">
        <v>1499</v>
      </c>
      <c r="AD355" s="900"/>
      <c r="AE355" s="900"/>
      <c r="AF355" s="313" t="s">
        <v>1218</v>
      </c>
      <c r="AG355" s="905" t="e">
        <f>AG356+AG363</f>
        <v>#REF!</v>
      </c>
      <c r="AH355" s="906"/>
      <c r="AI355" s="905" t="e">
        <f>AI356+AI363</f>
        <v>#REF!</v>
      </c>
      <c r="AJ355" s="906"/>
      <c r="AK355" s="338"/>
      <c r="AL355" s="338"/>
      <c r="AM355" s="338"/>
      <c r="AN355" s="338"/>
      <c r="AO355" s="338"/>
      <c r="AP355" s="338"/>
      <c r="AQ355" s="338"/>
    </row>
    <row r="356" spans="4:43" ht="33.75" customHeight="1" outlineLevel="1">
      <c r="D356" s="1">
        <v>45</v>
      </c>
      <c r="AB356" s="338"/>
      <c r="AC356" s="900" t="s">
        <v>1500</v>
      </c>
      <c r="AD356" s="900"/>
      <c r="AE356" s="900"/>
      <c r="AF356" s="313" t="s">
        <v>1218</v>
      </c>
      <c r="AG356" s="905" t="e">
        <f>AG357+AG360</f>
        <v>#REF!</v>
      </c>
      <c r="AH356" s="906"/>
      <c r="AI356" s="905" t="e">
        <f>AI357+AI360</f>
        <v>#REF!</v>
      </c>
      <c r="AJ356" s="906"/>
      <c r="AK356" s="338"/>
      <c r="AL356" s="338"/>
      <c r="AM356" s="338"/>
      <c r="AN356" s="338"/>
      <c r="AO356" s="338"/>
      <c r="AP356" s="338"/>
      <c r="AQ356" s="338"/>
    </row>
    <row r="357" spans="4:43" ht="33.75" customHeight="1" outlineLevel="1">
      <c r="D357" s="1">
        <v>45</v>
      </c>
      <c r="AB357" s="338"/>
      <c r="AC357" s="900" t="s">
        <v>928</v>
      </c>
      <c r="AD357" s="900"/>
      <c r="AE357" s="900"/>
      <c r="AF357" s="313" t="s">
        <v>1218</v>
      </c>
      <c r="AG357" s="905" t="e">
        <f>AG358*AG359*6/1000</f>
        <v>#REF!</v>
      </c>
      <c r="AH357" s="906"/>
      <c r="AI357" s="905" t="e">
        <f>AI358*AI359*6/1000</f>
        <v>#REF!</v>
      </c>
      <c r="AJ357" s="906"/>
      <c r="AK357" s="338"/>
      <c r="AL357" s="338"/>
      <c r="AM357" s="338"/>
      <c r="AN357" s="338"/>
      <c r="AO357" s="338"/>
      <c r="AP357" s="338"/>
      <c r="AQ357" s="338"/>
    </row>
    <row r="358" spans="4:43" ht="33.75" customHeight="1" outlineLevel="1">
      <c r="D358" s="1">
        <v>45</v>
      </c>
      <c r="AB358" s="338"/>
      <c r="AC358" s="900" t="s">
        <v>1501</v>
      </c>
      <c r="AD358" s="900"/>
      <c r="AE358" s="900"/>
      <c r="AF358" s="313" t="s">
        <v>639</v>
      </c>
      <c r="AG358" s="901" t="e">
        <f>#REF!</f>
        <v>#REF!</v>
      </c>
      <c r="AH358" s="902"/>
      <c r="AI358" s="901" t="e">
        <f>#REF!</f>
        <v>#REF!</v>
      </c>
      <c r="AJ358" s="902"/>
      <c r="AK358" s="338"/>
      <c r="AL358" s="338"/>
      <c r="AM358" s="338"/>
      <c r="AN358" s="338"/>
      <c r="AO358" s="338"/>
      <c r="AP358" s="338"/>
      <c r="AQ358" s="338"/>
    </row>
    <row r="359" spans="4:43" ht="33.75" customHeight="1" outlineLevel="1">
      <c r="D359" s="1">
        <v>45</v>
      </c>
      <c r="AB359" s="338"/>
      <c r="AC359" s="900" t="s">
        <v>1502</v>
      </c>
      <c r="AD359" s="900"/>
      <c r="AE359" s="900"/>
      <c r="AF359" s="313" t="s">
        <v>1503</v>
      </c>
      <c r="AG359" s="901" t="e">
        <f>#REF!</f>
        <v>#REF!</v>
      </c>
      <c r="AH359" s="902"/>
      <c r="AI359" s="901" t="e">
        <f>#REF!</f>
        <v>#REF!</v>
      </c>
      <c r="AJ359" s="902"/>
      <c r="AK359" s="338"/>
      <c r="AL359" s="338"/>
      <c r="AM359" s="338"/>
      <c r="AN359" s="338"/>
      <c r="AO359" s="338"/>
      <c r="AP359" s="338"/>
      <c r="AQ359" s="338"/>
    </row>
    <row r="360" spans="4:43" ht="33.75" customHeight="1" outlineLevel="1">
      <c r="D360" s="1">
        <v>45</v>
      </c>
      <c r="AB360" s="338"/>
      <c r="AC360" s="900" t="s">
        <v>929</v>
      </c>
      <c r="AD360" s="900"/>
      <c r="AE360" s="900"/>
      <c r="AF360" s="313" t="s">
        <v>1218</v>
      </c>
      <c r="AG360" s="905" t="e">
        <f>AG361*AG362*6/1000</f>
        <v>#REF!</v>
      </c>
      <c r="AH360" s="906"/>
      <c r="AI360" s="905" t="e">
        <f>AI361*AI362*6/1000</f>
        <v>#REF!</v>
      </c>
      <c r="AJ360" s="906"/>
      <c r="AK360" s="338"/>
      <c r="AL360" s="338"/>
      <c r="AM360" s="338"/>
      <c r="AN360" s="338"/>
      <c r="AO360" s="338"/>
      <c r="AP360" s="338"/>
      <c r="AQ360" s="338"/>
    </row>
    <row r="361" spans="4:43" ht="33.75" customHeight="1" outlineLevel="1">
      <c r="D361" s="1">
        <v>45</v>
      </c>
      <c r="AB361" s="338"/>
      <c r="AC361" s="900" t="s">
        <v>1501</v>
      </c>
      <c r="AD361" s="900"/>
      <c r="AE361" s="900"/>
      <c r="AF361" s="313" t="s">
        <v>639</v>
      </c>
      <c r="AG361" s="901" t="e">
        <f>#REF!</f>
        <v>#REF!</v>
      </c>
      <c r="AH361" s="902"/>
      <c r="AI361" s="901" t="e">
        <f>#REF!</f>
        <v>#REF!</v>
      </c>
      <c r="AJ361" s="902"/>
      <c r="AK361" s="338"/>
      <c r="AL361" s="338"/>
      <c r="AM361" s="338"/>
      <c r="AN361" s="338"/>
      <c r="AO361" s="338"/>
      <c r="AP361" s="338"/>
      <c r="AQ361" s="338"/>
    </row>
    <row r="362" spans="4:43" ht="33.75" customHeight="1" outlineLevel="1">
      <c r="D362" s="1">
        <v>45</v>
      </c>
      <c r="AB362" s="338"/>
      <c r="AC362" s="900" t="s">
        <v>1502</v>
      </c>
      <c r="AD362" s="900"/>
      <c r="AE362" s="900"/>
      <c r="AF362" s="313" t="s">
        <v>1503</v>
      </c>
      <c r="AG362" s="901" t="e">
        <f>#REF!</f>
        <v>#REF!</v>
      </c>
      <c r="AH362" s="902"/>
      <c r="AI362" s="901" t="e">
        <f>#REF!</f>
        <v>#REF!</v>
      </c>
      <c r="AJ362" s="902"/>
      <c r="AK362" s="338"/>
      <c r="AL362" s="338"/>
      <c r="AM362" s="338"/>
      <c r="AN362" s="338"/>
      <c r="AO362" s="338"/>
      <c r="AP362" s="338"/>
      <c r="AQ362" s="338"/>
    </row>
    <row r="363" spans="4:43" ht="33.75" customHeight="1" outlineLevel="1">
      <c r="D363" s="1">
        <v>45</v>
      </c>
      <c r="AB363" s="338"/>
      <c r="AC363" s="900" t="s">
        <v>1504</v>
      </c>
      <c r="AD363" s="900"/>
      <c r="AE363" s="900"/>
      <c r="AF363" s="313" t="s">
        <v>1218</v>
      </c>
      <c r="AG363" s="905" t="e">
        <f>AG364+AG369</f>
        <v>#REF!</v>
      </c>
      <c r="AH363" s="906"/>
      <c r="AI363" s="905" t="e">
        <f>AI364+AI369</f>
        <v>#REF!</v>
      </c>
      <c r="AJ363" s="906"/>
      <c r="AK363" s="338"/>
      <c r="AL363" s="338"/>
      <c r="AM363" s="338"/>
      <c r="AN363" s="338"/>
      <c r="AO363" s="338"/>
      <c r="AP363" s="338"/>
      <c r="AQ363" s="338"/>
    </row>
    <row r="364" spans="4:43" ht="33.75" customHeight="1" outlineLevel="1">
      <c r="D364" s="1">
        <v>45</v>
      </c>
      <c r="AB364" s="338"/>
      <c r="AC364" s="900" t="s">
        <v>928</v>
      </c>
      <c r="AD364" s="900"/>
      <c r="AE364" s="900"/>
      <c r="AF364" s="313" t="s">
        <v>1218</v>
      </c>
      <c r="AG364" s="905" t="e">
        <f>AG365*AG368</f>
        <v>#REF!</v>
      </c>
      <c r="AH364" s="906"/>
      <c r="AI364" s="905" t="e">
        <f>AI365*AI368</f>
        <v>#REF!</v>
      </c>
      <c r="AJ364" s="906"/>
      <c r="AK364" s="338"/>
      <c r="AL364" s="338"/>
      <c r="AM364" s="338"/>
      <c r="AN364" s="338"/>
      <c r="AO364" s="338"/>
      <c r="AP364" s="338"/>
      <c r="AQ364" s="338"/>
    </row>
    <row r="365" spans="4:43" ht="33.75" customHeight="1" outlineLevel="1">
      <c r="D365" s="1">
        <v>45</v>
      </c>
      <c r="AB365" s="338"/>
      <c r="AC365" s="900" t="s">
        <v>1505</v>
      </c>
      <c r="AD365" s="900"/>
      <c r="AE365" s="900"/>
      <c r="AF365" s="313" t="s">
        <v>1506</v>
      </c>
      <c r="AG365" s="905" t="e">
        <f>AG366*AG367</f>
        <v>#REF!</v>
      </c>
      <c r="AH365" s="906"/>
      <c r="AI365" s="905" t="e">
        <f>AI366*AI367</f>
        <v>#REF!</v>
      </c>
      <c r="AJ365" s="906"/>
      <c r="AK365" s="338"/>
      <c r="AL365" s="338"/>
      <c r="AM365" s="338"/>
      <c r="AN365" s="338"/>
      <c r="AO365" s="338"/>
      <c r="AP365" s="338"/>
      <c r="AQ365" s="338"/>
    </row>
    <row r="366" spans="4:43" ht="33.75" customHeight="1" outlineLevel="1">
      <c r="D366" s="1">
        <v>45</v>
      </c>
      <c r="AB366" s="338"/>
      <c r="AC366" s="900" t="s">
        <v>1507</v>
      </c>
      <c r="AD366" s="900"/>
      <c r="AE366" s="900"/>
      <c r="AF366" s="313" t="s">
        <v>1506</v>
      </c>
      <c r="AG366" s="901" t="e">
        <f>#REF!</f>
        <v>#REF!</v>
      </c>
      <c r="AH366" s="902"/>
      <c r="AI366" s="901" t="e">
        <f>#REF!</f>
        <v>#REF!</v>
      </c>
      <c r="AJ366" s="902"/>
      <c r="AK366" s="338"/>
      <c r="AL366" s="338"/>
      <c r="AM366" s="338"/>
      <c r="AN366" s="338"/>
      <c r="AO366" s="338"/>
      <c r="AP366" s="338"/>
      <c r="AQ366" s="338"/>
    </row>
    <row r="367" spans="4:43" ht="33.75" customHeight="1" outlineLevel="1">
      <c r="D367" s="1">
        <v>45</v>
      </c>
      <c r="AB367" s="338"/>
      <c r="AC367" s="900" t="s">
        <v>1508</v>
      </c>
      <c r="AD367" s="900"/>
      <c r="AE367" s="900"/>
      <c r="AF367" s="313" t="s">
        <v>633</v>
      </c>
      <c r="AG367" s="901" t="e">
        <f>#REF!</f>
        <v>#REF!</v>
      </c>
      <c r="AH367" s="902"/>
      <c r="AI367" s="901" t="e">
        <f>#REF!</f>
        <v>#REF!</v>
      </c>
      <c r="AJ367" s="902"/>
      <c r="AK367" s="338"/>
      <c r="AL367" s="338"/>
      <c r="AM367" s="338"/>
      <c r="AN367" s="338"/>
      <c r="AO367" s="338"/>
      <c r="AP367" s="338"/>
      <c r="AQ367" s="338"/>
    </row>
    <row r="368" spans="4:43" ht="33.75" customHeight="1" outlineLevel="1">
      <c r="D368" s="1">
        <v>45</v>
      </c>
      <c r="AB368" s="338"/>
      <c r="AC368" s="900" t="s">
        <v>1509</v>
      </c>
      <c r="AD368" s="900"/>
      <c r="AE368" s="900"/>
      <c r="AF368" s="313" t="s">
        <v>1033</v>
      </c>
      <c r="AG368" s="901" t="e">
        <f>#REF!</f>
        <v>#REF!</v>
      </c>
      <c r="AH368" s="902"/>
      <c r="AI368" s="901" t="e">
        <f>#REF!</f>
        <v>#REF!</v>
      </c>
      <c r="AJ368" s="902"/>
      <c r="AK368" s="338"/>
      <c r="AL368" s="338"/>
      <c r="AM368" s="338"/>
      <c r="AN368" s="338"/>
      <c r="AO368" s="338"/>
      <c r="AP368" s="338"/>
      <c r="AQ368" s="338"/>
    </row>
    <row r="369" spans="4:43" ht="33.75" customHeight="1" outlineLevel="1">
      <c r="D369" s="1">
        <v>45</v>
      </c>
      <c r="AB369" s="338"/>
      <c r="AC369" s="900" t="s">
        <v>929</v>
      </c>
      <c r="AD369" s="900"/>
      <c r="AE369" s="900"/>
      <c r="AF369" s="313" t="s">
        <v>1218</v>
      </c>
      <c r="AG369" s="905" t="e">
        <f>AG373*AG370</f>
        <v>#REF!</v>
      </c>
      <c r="AH369" s="906"/>
      <c r="AI369" s="905" t="e">
        <f>AI373*AI370</f>
        <v>#REF!</v>
      </c>
      <c r="AJ369" s="906"/>
      <c r="AK369" s="338"/>
      <c r="AL369" s="338"/>
      <c r="AM369" s="338"/>
      <c r="AN369" s="338"/>
      <c r="AO369" s="338"/>
      <c r="AP369" s="338"/>
      <c r="AQ369" s="338"/>
    </row>
    <row r="370" spans="4:43" ht="33.75" customHeight="1" outlineLevel="1">
      <c r="D370" s="1">
        <v>45</v>
      </c>
      <c r="AB370" s="338"/>
      <c r="AC370" s="900" t="s">
        <v>1505</v>
      </c>
      <c r="AD370" s="900"/>
      <c r="AE370" s="900"/>
      <c r="AF370" s="313" t="s">
        <v>1506</v>
      </c>
      <c r="AG370" s="905" t="e">
        <f>AG372*AG371</f>
        <v>#REF!</v>
      </c>
      <c r="AH370" s="906"/>
      <c r="AI370" s="905" t="e">
        <f>AI372*AI371</f>
        <v>#REF!</v>
      </c>
      <c r="AJ370" s="906"/>
      <c r="AK370" s="338"/>
      <c r="AL370" s="338"/>
      <c r="AM370" s="338"/>
      <c r="AN370" s="338"/>
      <c r="AO370" s="338"/>
      <c r="AP370" s="338"/>
      <c r="AQ370" s="338"/>
    </row>
    <row r="371" spans="4:43" ht="33.75" customHeight="1" outlineLevel="1">
      <c r="D371" s="1">
        <v>45</v>
      </c>
      <c r="AB371" s="338"/>
      <c r="AC371" s="900" t="s">
        <v>1507</v>
      </c>
      <c r="AD371" s="900"/>
      <c r="AE371" s="900"/>
      <c r="AF371" s="313" t="s">
        <v>1506</v>
      </c>
      <c r="AG371" s="901" t="e">
        <f>#REF!</f>
        <v>#REF!</v>
      </c>
      <c r="AH371" s="902"/>
      <c r="AI371" s="901" t="e">
        <f>#REF!</f>
        <v>#REF!</v>
      </c>
      <c r="AJ371" s="902"/>
      <c r="AK371" s="338"/>
      <c r="AL371" s="338"/>
      <c r="AM371" s="338"/>
      <c r="AN371" s="338"/>
      <c r="AO371" s="338"/>
      <c r="AP371" s="338"/>
      <c r="AQ371" s="338"/>
    </row>
    <row r="372" spans="4:43" ht="33.75" customHeight="1" outlineLevel="1">
      <c r="D372" s="1">
        <v>45</v>
      </c>
      <c r="AB372" s="338"/>
      <c r="AC372" s="900" t="s">
        <v>1508</v>
      </c>
      <c r="AD372" s="900"/>
      <c r="AE372" s="900"/>
      <c r="AF372" s="313" t="s">
        <v>633</v>
      </c>
      <c r="AG372" s="901" t="e">
        <f>#REF!</f>
        <v>#REF!</v>
      </c>
      <c r="AH372" s="902"/>
      <c r="AI372" s="901" t="e">
        <f>#REF!</f>
        <v>#REF!</v>
      </c>
      <c r="AJ372" s="902"/>
      <c r="AK372" s="338"/>
      <c r="AL372" s="338"/>
      <c r="AM372" s="338"/>
      <c r="AN372" s="338"/>
      <c r="AO372" s="338"/>
      <c r="AP372" s="338"/>
      <c r="AQ372" s="338"/>
    </row>
    <row r="373" spans="4:43" ht="33.75" customHeight="1" outlineLevel="1">
      <c r="D373" s="1">
        <v>45</v>
      </c>
      <c r="AB373" s="338"/>
      <c r="AC373" s="900" t="s">
        <v>1509</v>
      </c>
      <c r="AD373" s="900"/>
      <c r="AE373" s="900"/>
      <c r="AF373" s="313" t="s">
        <v>1033</v>
      </c>
      <c r="AG373" s="901" t="e">
        <f>#REF!</f>
        <v>#REF!</v>
      </c>
      <c r="AH373" s="902"/>
      <c r="AI373" s="901" t="e">
        <f>#REF!</f>
        <v>#REF!</v>
      </c>
      <c r="AJ373" s="902"/>
      <c r="AK373" s="338"/>
      <c r="AL373" s="338"/>
      <c r="AM373" s="338"/>
      <c r="AN373" s="338"/>
      <c r="AO373" s="338"/>
      <c r="AP373" s="338"/>
      <c r="AQ373" s="338"/>
    </row>
    <row r="374" spans="4:43" ht="33.75" customHeight="1">
      <c r="D374" s="1">
        <v>45</v>
      </c>
      <c r="AB374" s="890"/>
      <c r="AC374" s="890"/>
      <c r="AD374" s="890"/>
      <c r="AE374" s="890"/>
      <c r="AF374" s="890"/>
      <c r="AG374" s="890"/>
      <c r="AH374" s="890"/>
      <c r="AI374" s="890"/>
      <c r="AJ374" s="890"/>
      <c r="AK374" s="890"/>
      <c r="AL374" s="890"/>
      <c r="AM374" s="890"/>
      <c r="AN374" s="890"/>
      <c r="AO374" s="890"/>
      <c r="AP374" s="890"/>
      <c r="AQ374" s="890"/>
    </row>
    <row r="375" spans="4:43" ht="19.5" customHeight="1" outlineLevel="1">
      <c r="D375" s="1">
        <v>26</v>
      </c>
      <c r="AA375" s="781"/>
      <c r="AB375" s="898" t="s">
        <v>1510</v>
      </c>
      <c r="AC375" s="781"/>
      <c r="AD375" s="781"/>
      <c r="AE375" s="781"/>
      <c r="AF375" s="781"/>
      <c r="AG375" s="781"/>
      <c r="AH375" s="781"/>
      <c r="AI375" s="781"/>
      <c r="AJ375" s="781"/>
      <c r="AK375" s="781"/>
      <c r="AL375" s="781"/>
      <c r="AM375" s="781"/>
      <c r="AN375" s="781"/>
      <c r="AO375" s="781"/>
      <c r="AP375" s="781"/>
      <c r="AQ375" s="781"/>
    </row>
    <row r="376" spans="4:43" ht="39" customHeight="1" outlineLevel="1">
      <c r="D376" s="1">
        <v>52</v>
      </c>
      <c r="AA376" s="781"/>
      <c r="AB376" s="896" t="e">
        <f>"Фактические расходы в "&amp;PRD-2&amp;" году составили "&amp;ROUND(#REF!,2)&amp;" тыс. руб., в том числе аренда электросетевого хозяйства – "&amp;ROUND(#REF!,2)&amp;" тыс. руб. Утверждённые расходы на "&amp;PRD-1&amp;" год составили "&amp;ROUND(#REF!,2)&amp;" тыс. руб., в том числе аренда электросетевого хозяйства – "&amp;ROUND(#REF!,2)&amp;" тыс. руб. Предприятием планируется на "&amp;PRD&amp;" год по данной статье затрат на аренду в сумме "&amp;ROUND(#REF!,2)&amp;" тыс. руб., в том числе аренда электросетевого хозяйства на сумму "&amp;ROUND(#REF!,2)&amp;" тыс. руб."</f>
        <v>#REF!</v>
      </c>
      <c r="AC376" s="896"/>
      <c r="AD376" s="896"/>
      <c r="AE376" s="896"/>
      <c r="AF376" s="896"/>
      <c r="AG376" s="896"/>
      <c r="AH376" s="896"/>
      <c r="AI376" s="896"/>
      <c r="AJ376" s="896"/>
      <c r="AK376" s="896"/>
      <c r="AL376" s="896"/>
      <c r="AM376" s="896"/>
      <c r="AN376" s="896"/>
      <c r="AO376" s="896"/>
      <c r="AP376" s="896"/>
      <c r="AQ376" s="896"/>
    </row>
    <row r="377" spans="4:43" ht="39" customHeight="1" outlineLevel="1">
      <c r="D377" s="1">
        <v>52</v>
      </c>
      <c r="AB377" s="896" t="s">
        <v>1511</v>
      </c>
      <c r="AC377" s="896"/>
      <c r="AD377" s="896"/>
      <c r="AE377" s="896"/>
      <c r="AF377" s="896"/>
      <c r="AG377" s="896"/>
      <c r="AH377" s="896"/>
      <c r="AI377" s="896"/>
      <c r="AJ377" s="896"/>
      <c r="AK377" s="896"/>
      <c r="AL377" s="896"/>
      <c r="AM377" s="896"/>
      <c r="AN377" s="896"/>
      <c r="AO377" s="896"/>
      <c r="AP377" s="896"/>
      <c r="AQ377" s="896"/>
    </row>
    <row r="378" spans="4:43" ht="39" customHeight="1" outlineLevel="1">
      <c r="D378" s="1">
        <v>52</v>
      </c>
      <c r="AB378" s="896" t="s">
        <v>1512</v>
      </c>
      <c r="AC378" s="896"/>
      <c r="AD378" s="896"/>
      <c r="AE378" s="896"/>
      <c r="AF378" s="896"/>
      <c r="AG378" s="896"/>
      <c r="AH378" s="896"/>
      <c r="AI378" s="896"/>
      <c r="AJ378" s="896"/>
      <c r="AK378" s="896"/>
      <c r="AL378" s="896"/>
      <c r="AM378" s="896"/>
      <c r="AN378" s="896"/>
      <c r="AO378" s="896"/>
      <c r="AP378" s="896"/>
      <c r="AQ378" s="896"/>
    </row>
    <row r="379" spans="4:43" ht="33.75" customHeight="1" outlineLevel="1">
      <c r="D379" s="1">
        <v>45</v>
      </c>
      <c r="AB379" s="896" t="str">
        <f>"Пообъектный расчет аренды электросетевого хозяйства на "&amp;PRD&amp;" год в формате шаблона ENERGY.CALC.NVV.TSO лист Аренда ЭСХ  (Приложение №5 и в приложении к заключению)"</f>
        <v>Пообъектный расчет аренды электросетевого хозяйства на 2026 год в формате шаблона ENERGY.CALC.NVV.TSO лист Аренда ЭСХ  (Приложение №5 и в приложении к заключению)</v>
      </c>
      <c r="AC379" s="896"/>
      <c r="AD379" s="896"/>
      <c r="AE379" s="896"/>
      <c r="AF379" s="896"/>
      <c r="AG379" s="896"/>
      <c r="AH379" s="896"/>
      <c r="AI379" s="896"/>
      <c r="AJ379" s="896"/>
      <c r="AK379" s="896"/>
      <c r="AL379" s="896"/>
      <c r="AM379" s="896"/>
      <c r="AN379" s="896"/>
      <c r="AO379" s="896"/>
      <c r="AP379" s="896"/>
      <c r="AQ379" s="896"/>
    </row>
    <row r="380" spans="4:43" ht="33.75" customHeight="1" outlineLevel="1">
      <c r="D380" s="1">
        <v>45</v>
      </c>
      <c r="AB380" s="894"/>
      <c r="AC380" s="894"/>
      <c r="AD380" s="894"/>
      <c r="AE380" s="894"/>
      <c r="AF380" s="894"/>
      <c r="AG380" s="894"/>
      <c r="AH380" s="894"/>
      <c r="AI380" s="894"/>
      <c r="AJ380" s="894"/>
      <c r="AK380" s="894"/>
      <c r="AL380" s="894"/>
      <c r="AM380" s="894"/>
      <c r="AN380" s="894"/>
      <c r="AO380" s="894"/>
      <c r="AP380" s="894"/>
      <c r="AQ380" s="894"/>
    </row>
    <row r="381" spans="4:43" ht="33.75" customHeight="1" outlineLevel="1">
      <c r="D381" s="1">
        <v>45</v>
      </c>
      <c r="AB381" s="896"/>
      <c r="AC381" s="896"/>
      <c r="AD381" s="896"/>
      <c r="AE381" s="896"/>
      <c r="AF381" s="896"/>
      <c r="AG381" s="896"/>
      <c r="AH381" s="896"/>
      <c r="AI381" s="896"/>
      <c r="AJ381" s="896"/>
      <c r="AK381" s="896"/>
      <c r="AL381" s="896"/>
      <c r="AM381" s="896"/>
      <c r="AN381" s="896"/>
      <c r="AO381" s="896"/>
      <c r="AP381" s="896"/>
      <c r="AQ381" s="896"/>
    </row>
    <row r="382" spans="4:43" ht="33.75" customHeight="1" outlineLevel="1">
      <c r="D382" s="1">
        <v>45</v>
      </c>
      <c r="AB382" s="896" t="str">
        <f>"Пообъектный расчет аренды прочего имущества на "&amp;PRD&amp;" год в формате шаблона ENERGY.CALC.NVV.TSO лист Аренда прочее им.  (Приложение №6 и в приложении к заключению)."</f>
        <v>Пообъектный расчет аренды прочего имущества на 2026 год в формате шаблона ENERGY.CALC.NVV.TSO лист Аренда прочее им.  (Приложение №6 и в приложении к заключению).</v>
      </c>
      <c r="AC382" s="896"/>
      <c r="AD382" s="896"/>
      <c r="AE382" s="896"/>
      <c r="AF382" s="896"/>
      <c r="AG382" s="896"/>
      <c r="AH382" s="896"/>
      <c r="AI382" s="896"/>
      <c r="AJ382" s="896"/>
      <c r="AK382" s="896"/>
      <c r="AL382" s="896"/>
      <c r="AM382" s="896"/>
      <c r="AN382" s="896"/>
      <c r="AO382" s="896"/>
      <c r="AP382" s="896"/>
      <c r="AQ382" s="896"/>
    </row>
    <row r="383" spans="4:43" ht="33.75" customHeight="1" outlineLevel="1">
      <c r="D383" s="1">
        <v>45</v>
      </c>
      <c r="AB383" s="894"/>
      <c r="AC383" s="894"/>
      <c r="AD383" s="894"/>
      <c r="AE383" s="894"/>
      <c r="AF383" s="894"/>
      <c r="AG383" s="894"/>
      <c r="AH383" s="894"/>
      <c r="AI383" s="894"/>
      <c r="AJ383" s="894"/>
      <c r="AK383" s="894"/>
      <c r="AL383" s="894"/>
      <c r="AM383" s="894"/>
      <c r="AN383" s="894"/>
      <c r="AO383" s="894"/>
      <c r="AP383" s="894"/>
      <c r="AQ383" s="894"/>
    </row>
    <row r="384" spans="4:43" ht="33.75" customHeight="1" outlineLevel="1">
      <c r="D384" s="1">
        <v>45</v>
      </c>
      <c r="AB384" s="896"/>
      <c r="AC384" s="896"/>
      <c r="AD384" s="896"/>
      <c r="AE384" s="896"/>
      <c r="AF384" s="896"/>
      <c r="AG384" s="896"/>
      <c r="AH384" s="896"/>
      <c r="AI384" s="896"/>
      <c r="AJ384" s="896"/>
      <c r="AK384" s="896"/>
      <c r="AL384" s="896"/>
      <c r="AM384" s="896"/>
      <c r="AN384" s="896"/>
      <c r="AO384" s="896"/>
      <c r="AP384" s="896"/>
      <c r="AQ384" s="896"/>
    </row>
    <row r="385" spans="4:43" ht="33.75" customHeight="1" outlineLevel="1">
      <c r="D385" s="1">
        <v>45</v>
      </c>
      <c r="AB385" s="896" t="e">
        <f>"Таким образом, эксперты предлагают считать экономически обоснованными затраты на аренду на "&amp;PRD&amp;" год в размере "&amp;ROUND(#REF!,2)&amp;" тыс. руб., в том числе по объектам электросетевого хозяйства в размере "&amp;ROUND(#REF!,2)&amp;" тыс. руб."</f>
        <v>#REF!</v>
      </c>
      <c r="AC385" s="896"/>
      <c r="AD385" s="896"/>
      <c r="AE385" s="896"/>
      <c r="AF385" s="896"/>
      <c r="AG385" s="896"/>
      <c r="AH385" s="896"/>
      <c r="AI385" s="896"/>
      <c r="AJ385" s="896"/>
      <c r="AK385" s="896"/>
      <c r="AL385" s="896"/>
      <c r="AM385" s="896"/>
      <c r="AN385" s="896"/>
      <c r="AO385" s="896"/>
      <c r="AP385" s="896"/>
      <c r="AQ385" s="896"/>
    </row>
    <row r="386" spans="4:43" ht="33.75" customHeight="1" outlineLevel="1">
      <c r="D386" s="1">
        <v>45</v>
      </c>
      <c r="AB386" s="896" t="str">
        <f>"Оценку экономически обоснованных расходов за "&amp;PRD-2&amp;" год эксперты провели аналогичным способом, принимая минимальный размер аренды по договору или по расчёту в соответствии с Основами ценообразования…"</f>
        <v>Оценку экономически обоснованных расходов за 2024 год эксперты провели аналогичным способом, принимая минимальный размер аренды по договору или по расчёту в соответствии с Основами ценообразования…</v>
      </c>
      <c r="AC386" s="896"/>
      <c r="AD386" s="896"/>
      <c r="AE386" s="896"/>
      <c r="AF386" s="896"/>
      <c r="AG386" s="896"/>
      <c r="AH386" s="896"/>
      <c r="AI386" s="896"/>
      <c r="AJ386" s="896"/>
      <c r="AK386" s="896"/>
      <c r="AL386" s="896"/>
      <c r="AM386" s="896"/>
      <c r="AN386" s="896"/>
      <c r="AO386" s="896"/>
      <c r="AP386" s="896"/>
      <c r="AQ386" s="896"/>
    </row>
    <row r="387" spans="4:43" ht="19.5" customHeight="1" outlineLevel="1">
      <c r="D387" s="1">
        <v>26</v>
      </c>
      <c r="AB387" s="896" t="e">
        <f>"По расчёту экспертов (исходя из амортизации и налогов) расходы на аренду электросетевого хозяйства за "&amp;PRD-2&amp;" год составили "&amp;ROUND(#REF!,2)&amp;" тыс. руб."</f>
        <v>#REF!</v>
      </c>
      <c r="AC387" s="896"/>
      <c r="AD387" s="896"/>
      <c r="AE387" s="896"/>
      <c r="AF387" s="896"/>
      <c r="AG387" s="896"/>
      <c r="AH387" s="896"/>
      <c r="AI387" s="896"/>
      <c r="AJ387" s="896"/>
      <c r="AK387" s="896"/>
      <c r="AL387" s="896"/>
      <c r="AM387" s="896"/>
      <c r="AN387" s="896"/>
      <c r="AO387" s="896"/>
      <c r="AP387" s="896"/>
      <c r="AQ387" s="896"/>
    </row>
    <row r="388" spans="4:43" ht="21.75" customHeight="1" outlineLevel="1">
      <c r="D388" s="1">
        <v>29</v>
      </c>
      <c r="AB388" s="1006" t="s">
        <v>1513</v>
      </c>
      <c r="AC388" s="781"/>
      <c r="AD388" s="781"/>
      <c r="AE388" s="324"/>
      <c r="AG388" s="896" t="e">
        <f>IF(#REF!=AE388,"сумма арендной платы и сумма заключенных договоров равны",IF(#REF!&lt;AE388,"что ниже суммы арендной платы на "&amp;#REF!-AE388&amp;"тыс.руб","что выше суммы арендной платы на "&amp;#REF!-AE388&amp;"тыс.руб"))</f>
        <v>#REF!</v>
      </c>
      <c r="AH388" s="896"/>
      <c r="AI388" s="896"/>
      <c r="AJ388" s="896"/>
      <c r="AK388" s="896"/>
      <c r="AL388" s="896"/>
      <c r="AM388" s="896"/>
      <c r="AN388" s="896"/>
      <c r="AO388" s="896"/>
      <c r="AP388" s="896"/>
      <c r="AQ388" s="896"/>
    </row>
    <row r="389" spans="4:43" ht="33.75" customHeight="1" outlineLevel="1">
      <c r="D389" s="1">
        <v>45</v>
      </c>
      <c r="AB389" s="896" t="e">
        <f>"Расходы на аренду прочего имущества за "&amp;PRD-2&amp;" год составили "&amp;ROUND(#REF!-#REF!,2)&amp;" тыс. руб"</f>
        <v>#REF!</v>
      </c>
      <c r="AC389" s="896"/>
      <c r="AD389" s="896"/>
      <c r="AE389" s="896"/>
      <c r="AF389" s="896"/>
      <c r="AG389" s="896"/>
      <c r="AH389" s="896"/>
      <c r="AI389" s="896"/>
      <c r="AJ389" s="896"/>
      <c r="AK389" s="896"/>
      <c r="AL389" s="896"/>
      <c r="AM389" s="896"/>
      <c r="AN389" s="896"/>
      <c r="AO389" s="896"/>
      <c r="AP389" s="896"/>
      <c r="AQ389" s="896"/>
    </row>
    <row r="390" spans="4:43" ht="21.75" customHeight="1" outlineLevel="1">
      <c r="D390" s="1">
        <v>29</v>
      </c>
      <c r="AB390" s="1006" t="s">
        <v>1513</v>
      </c>
      <c r="AC390" s="781"/>
      <c r="AD390" s="781"/>
      <c r="AE390" s="324"/>
      <c r="AG390" s="896" t="e">
        <f>IF(#REF!-#REF!=AE390,"сумма арендной платы и сумма заключенных договоров равны",IF(#REF!-#REF!&lt;AE390,"что ниже суммы арендной платы на "&amp;#REF!-#REF!-AE390&amp;"тыс.руб","что выше суммы арендной платы на "&amp;#REF!-#REF!-AE390&amp;"тыс.руб"))</f>
        <v>#REF!</v>
      </c>
      <c r="AH390" s="896"/>
      <c r="AI390" s="896"/>
      <c r="AJ390" s="896"/>
      <c r="AK390" s="896"/>
      <c r="AL390" s="896"/>
      <c r="AM390" s="896"/>
      <c r="AN390" s="896"/>
      <c r="AO390" s="896"/>
      <c r="AP390" s="896"/>
      <c r="AQ390" s="896"/>
    </row>
    <row r="391" spans="4:43" ht="42" customHeight="1" outlineLevel="1">
      <c r="D391" s="1">
        <v>56</v>
      </c>
      <c r="AB391" s="896"/>
      <c r="AC391" s="896"/>
      <c r="AD391" s="896"/>
      <c r="AE391" s="896"/>
      <c r="AF391" s="896"/>
      <c r="AG391" s="896"/>
      <c r="AH391" s="896"/>
      <c r="AI391" s="896"/>
      <c r="AJ391" s="896"/>
      <c r="AK391" s="896"/>
      <c r="AL391" s="896"/>
      <c r="AM391" s="896"/>
      <c r="AN391" s="896"/>
      <c r="AO391" s="896"/>
      <c r="AP391" s="896"/>
      <c r="AQ391" s="896"/>
    </row>
    <row r="392" spans="4:43" ht="33.75" customHeight="1" outlineLevel="1">
      <c r="D392" s="1">
        <v>45</v>
      </c>
      <c r="AB392" s="896" t="e">
        <f>"Учитывая изложенное, экспертами признают экономически обоснованными расходы на аренду за "&amp;PRD-2&amp;" год в размере "&amp;#REF!&amp;" тыс. руб. в том числе аренда электросетевого хозяйства на сумму "&amp;#REF!&amp;" тыс. руб."</f>
        <v>#REF!</v>
      </c>
      <c r="AC392" s="896"/>
      <c r="AD392" s="896"/>
      <c r="AE392" s="896"/>
      <c r="AF392" s="896"/>
      <c r="AG392" s="896"/>
      <c r="AH392" s="896"/>
      <c r="AI392" s="896"/>
      <c r="AJ392" s="896"/>
      <c r="AK392" s="896"/>
      <c r="AL392" s="896"/>
      <c r="AM392" s="896"/>
      <c r="AN392" s="896"/>
      <c r="AO392" s="896"/>
      <c r="AP392" s="896"/>
      <c r="AQ392" s="896"/>
    </row>
    <row r="393" spans="4:43" ht="33.75" customHeight="1">
      <c r="D393" s="1">
        <v>45</v>
      </c>
      <c r="AB393" s="890"/>
      <c r="AC393" s="890"/>
      <c r="AD393" s="890"/>
      <c r="AE393" s="890"/>
      <c r="AF393" s="890"/>
      <c r="AG393" s="890"/>
      <c r="AH393" s="890"/>
      <c r="AI393" s="890"/>
      <c r="AJ393" s="890"/>
      <c r="AK393" s="890"/>
      <c r="AL393" s="890"/>
      <c r="AM393" s="890"/>
      <c r="AN393" s="890"/>
      <c r="AO393" s="890"/>
      <c r="AP393" s="890"/>
      <c r="AQ393" s="890"/>
    </row>
    <row r="394" spans="4:43" ht="19.5" customHeight="1" outlineLevel="1">
      <c r="D394" s="1">
        <v>26</v>
      </c>
      <c r="AA394" s="781"/>
      <c r="AB394" s="898" t="s">
        <v>1514</v>
      </c>
      <c r="AC394" s="781"/>
      <c r="AD394" s="781"/>
      <c r="AE394" s="781"/>
      <c r="AF394" s="781"/>
      <c r="AG394" s="781"/>
      <c r="AH394" s="781"/>
      <c r="AI394" s="781"/>
      <c r="AJ394" s="781"/>
      <c r="AK394" s="781"/>
      <c r="AL394" s="781"/>
      <c r="AM394" s="781"/>
      <c r="AN394" s="781"/>
      <c r="AO394" s="781"/>
      <c r="AP394" s="781"/>
      <c r="AQ394" s="781"/>
    </row>
    <row r="395" spans="4:43" ht="39" customHeight="1" outlineLevel="1">
      <c r="D395" s="1">
        <v>52</v>
      </c>
      <c r="AA395" s="781"/>
      <c r="AB395" s="896" t="e">
        <f>"Фактические расходы в "&amp;PRD-2&amp;" году составили "&amp;ROUND(#REF!,2)&amp;" тыс. руб., в том числе аренда электросетевого хозяйства – "&amp;ROUND(#REF!,2)&amp;" тыс. руб. Утверждённые расходы на "&amp;PRD-1&amp;" год составили "&amp;ROUND(#REF!,2)&amp;" тыс. руб., в том числе аренда электросетевого хозяйства – "&amp;ROUND(#REF!,2)&amp;" тыс. руб. Предприятием планируется на "&amp;PRD&amp;" год по данной статье затрат на аренду в сумме "&amp;ROUND(#REF!,2)&amp;" тыс. руб., в том числе аренда электросетевого хозяйства на сумму "&amp;ROUND(#REF!,2)&amp;" тыс. руб."</f>
        <v>#REF!</v>
      </c>
      <c r="AC395" s="896"/>
      <c r="AD395" s="896"/>
      <c r="AE395" s="896"/>
      <c r="AF395" s="896"/>
      <c r="AG395" s="896"/>
      <c r="AH395" s="896"/>
      <c r="AI395" s="896"/>
      <c r="AJ395" s="896"/>
      <c r="AK395" s="896"/>
      <c r="AL395" s="896"/>
      <c r="AM395" s="896"/>
      <c r="AN395" s="896"/>
      <c r="AO395" s="896"/>
      <c r="AP395" s="896"/>
      <c r="AQ395" s="896"/>
    </row>
    <row r="396" spans="4:43" ht="39" customHeight="1" outlineLevel="1">
      <c r="D396" s="1">
        <v>52</v>
      </c>
      <c r="AB396" s="896"/>
      <c r="AC396" s="896"/>
      <c r="AD396" s="896"/>
      <c r="AE396" s="896"/>
      <c r="AF396" s="896"/>
      <c r="AG396" s="896"/>
      <c r="AH396" s="896"/>
      <c r="AI396" s="896"/>
      <c r="AJ396" s="896"/>
      <c r="AK396" s="896"/>
      <c r="AL396" s="896"/>
      <c r="AM396" s="896"/>
      <c r="AN396" s="896"/>
      <c r="AO396" s="896"/>
      <c r="AP396" s="896"/>
      <c r="AQ396" s="896"/>
    </row>
    <row r="397" spans="4:43" ht="39" customHeight="1" outlineLevel="1">
      <c r="D397" s="1">
        <v>52</v>
      </c>
      <c r="AB397" s="896"/>
      <c r="AC397" s="896"/>
      <c r="AD397" s="896"/>
      <c r="AE397" s="896"/>
      <c r="AF397" s="896"/>
      <c r="AG397" s="896"/>
      <c r="AH397" s="896"/>
      <c r="AI397" s="896"/>
      <c r="AJ397" s="896"/>
      <c r="AK397" s="896"/>
      <c r="AL397" s="896"/>
      <c r="AM397" s="896"/>
      <c r="AN397" s="896"/>
      <c r="AO397" s="896"/>
      <c r="AP397" s="896"/>
      <c r="AQ397" s="896"/>
    </row>
    <row r="398" spans="4:43" ht="33.75" customHeight="1" outlineLevel="1">
      <c r="D398" s="1">
        <v>45</v>
      </c>
      <c r="AB398" s="896" t="s">
        <v>1515</v>
      </c>
      <c r="AC398" s="896"/>
      <c r="AD398" s="896"/>
      <c r="AE398" s="896"/>
      <c r="AF398" s="896"/>
      <c r="AG398" s="896"/>
      <c r="AH398" s="896"/>
      <c r="AI398" s="896"/>
      <c r="AJ398" s="896"/>
      <c r="AK398" s="896"/>
      <c r="AL398" s="896"/>
      <c r="AM398" s="896"/>
      <c r="AN398" s="896"/>
      <c r="AO398" s="896"/>
      <c r="AP398" s="896"/>
      <c r="AQ398" s="896"/>
    </row>
    <row r="399" spans="4:43" ht="33.75" customHeight="1" outlineLevel="1">
      <c r="D399" s="1">
        <v>45</v>
      </c>
      <c r="AB399" s="894" t="str">
        <f>"Пообъектный расчет лизинга электросетевого хозяйства на "&amp;PRD&amp;" год в формате шаблона ENERGY.CALC.NVV.TSO лист Лизинг ЭСХ  (Приложение №6 и в приложении к заключению)."</f>
        <v>Пообъектный расчет лизинга электросетевого хозяйства на 2026 год в формате шаблона ENERGY.CALC.NVV.TSO лист Лизинг ЭСХ  (Приложение №6 и в приложении к заключению).</v>
      </c>
      <c r="AC399" s="894"/>
      <c r="AD399" s="894"/>
      <c r="AE399" s="894"/>
      <c r="AF399" s="894"/>
      <c r="AG399" s="894"/>
      <c r="AH399" s="894"/>
      <c r="AI399" s="894"/>
      <c r="AJ399" s="894"/>
      <c r="AK399" s="894"/>
      <c r="AL399" s="894"/>
      <c r="AM399" s="894"/>
      <c r="AN399" s="894"/>
      <c r="AO399" s="894"/>
      <c r="AP399" s="894"/>
      <c r="AQ399" s="894"/>
    </row>
    <row r="400" spans="4:43" ht="33.75" customHeight="1" outlineLevel="1">
      <c r="D400" s="1">
        <v>45</v>
      </c>
      <c r="AB400" s="896"/>
      <c r="AC400" s="896"/>
      <c r="AD400" s="896"/>
      <c r="AE400" s="896"/>
      <c r="AF400" s="896"/>
      <c r="AG400" s="896"/>
      <c r="AH400" s="896"/>
      <c r="AI400" s="896"/>
      <c r="AJ400" s="896"/>
      <c r="AK400" s="896"/>
      <c r="AL400" s="896"/>
      <c r="AM400" s="896"/>
      <c r="AN400" s="896"/>
      <c r="AO400" s="896"/>
      <c r="AP400" s="896"/>
      <c r="AQ400" s="896"/>
    </row>
    <row r="401" spans="4:43" ht="33.75" customHeight="1" outlineLevel="1">
      <c r="D401" s="1">
        <v>45</v>
      </c>
      <c r="AB401" s="896"/>
      <c r="AC401" s="896"/>
      <c r="AD401" s="896"/>
      <c r="AE401" s="896"/>
      <c r="AF401" s="896"/>
      <c r="AG401" s="896"/>
      <c r="AH401" s="896"/>
      <c r="AI401" s="896"/>
      <c r="AJ401" s="896"/>
      <c r="AK401" s="896"/>
      <c r="AL401" s="896"/>
      <c r="AM401" s="896"/>
      <c r="AN401" s="896"/>
      <c r="AO401" s="896"/>
      <c r="AP401" s="896"/>
      <c r="AQ401" s="896"/>
    </row>
    <row r="402" spans="4:43" ht="33.75" customHeight="1" outlineLevel="1">
      <c r="D402" s="1">
        <v>45</v>
      </c>
      <c r="AB402" s="894"/>
      <c r="AC402" s="894"/>
      <c r="AD402" s="894"/>
      <c r="AE402" s="894"/>
      <c r="AF402" s="894"/>
      <c r="AG402" s="894"/>
      <c r="AH402" s="894"/>
      <c r="AI402" s="894"/>
      <c r="AJ402" s="894"/>
      <c r="AK402" s="894"/>
      <c r="AL402" s="894"/>
      <c r="AM402" s="894"/>
      <c r="AN402" s="894"/>
      <c r="AO402" s="894"/>
      <c r="AP402" s="894"/>
      <c r="AQ402" s="894"/>
    </row>
    <row r="403" spans="4:43" ht="33.75" customHeight="1" outlineLevel="1">
      <c r="D403" s="1">
        <v>45</v>
      </c>
      <c r="AB403" s="896"/>
      <c r="AC403" s="896"/>
      <c r="AD403" s="896"/>
      <c r="AE403" s="896"/>
      <c r="AF403" s="896"/>
      <c r="AG403" s="896"/>
      <c r="AH403" s="896"/>
      <c r="AI403" s="896"/>
      <c r="AJ403" s="896"/>
      <c r="AK403" s="896"/>
      <c r="AL403" s="896"/>
      <c r="AM403" s="896"/>
      <c r="AN403" s="896"/>
      <c r="AO403" s="896"/>
      <c r="AP403" s="896"/>
      <c r="AQ403" s="896"/>
    </row>
    <row r="404" spans="4:43" ht="33.75" customHeight="1" outlineLevel="1">
      <c r="D404" s="1">
        <v>45</v>
      </c>
      <c r="AB404" s="896"/>
      <c r="AC404" s="896"/>
      <c r="AD404" s="896"/>
      <c r="AE404" s="896"/>
      <c r="AF404" s="896"/>
      <c r="AG404" s="896"/>
      <c r="AH404" s="896"/>
      <c r="AI404" s="896"/>
      <c r="AJ404" s="896"/>
      <c r="AK404" s="896"/>
      <c r="AL404" s="896"/>
      <c r="AM404" s="896"/>
      <c r="AN404" s="896"/>
      <c r="AO404" s="896"/>
      <c r="AP404" s="896"/>
      <c r="AQ404" s="896"/>
    </row>
    <row r="405" spans="4:43" ht="33.75" customHeight="1" outlineLevel="1">
      <c r="D405" s="1">
        <v>45</v>
      </c>
      <c r="AB405" s="896" t="e">
        <f>"Таким образом, эксперты предлагают считать экономически обоснованными затраты на лизинг на "&amp;PRD&amp;" год в размере "&amp;ROUND(#REF!,2)&amp;" тыс. руб., в том числе по объектам электросетевого хозяйства в размере "&amp;ROUND(#REF!,2)&amp;" тыс. руб."</f>
        <v>#REF!</v>
      </c>
      <c r="AC405" s="896"/>
      <c r="AD405" s="896"/>
      <c r="AE405" s="896"/>
      <c r="AF405" s="896"/>
      <c r="AG405" s="896"/>
      <c r="AH405" s="896"/>
      <c r="AI405" s="896"/>
      <c r="AJ405" s="896"/>
      <c r="AK405" s="896"/>
      <c r="AL405" s="896"/>
      <c r="AM405" s="896"/>
      <c r="AN405" s="896"/>
      <c r="AO405" s="896"/>
      <c r="AP405" s="896"/>
      <c r="AQ405" s="896"/>
    </row>
    <row r="406" spans="4:43" ht="19.5" customHeight="1" outlineLevel="1">
      <c r="D406" s="1">
        <v>26</v>
      </c>
      <c r="AB406" s="896"/>
      <c r="AC406" s="896"/>
      <c r="AD406" s="896"/>
      <c r="AE406" s="896"/>
      <c r="AF406" s="896"/>
      <c r="AG406" s="896"/>
      <c r="AH406" s="896"/>
      <c r="AI406" s="896"/>
      <c r="AJ406" s="896"/>
      <c r="AK406" s="896"/>
      <c r="AL406" s="896"/>
      <c r="AM406" s="896"/>
      <c r="AN406" s="896"/>
      <c r="AO406" s="896"/>
      <c r="AP406" s="896"/>
      <c r="AQ406" s="896"/>
    </row>
    <row r="407" spans="4:43" ht="28.5" hidden="1" customHeight="1">
      <c r="D407" s="1">
        <v>0</v>
      </c>
      <c r="AB407" s="890"/>
      <c r="AC407" s="890"/>
      <c r="AD407" s="890"/>
      <c r="AE407" s="890"/>
      <c r="AF407" s="890"/>
      <c r="AG407" s="890"/>
      <c r="AH407" s="890"/>
      <c r="AI407" s="890"/>
      <c r="AJ407" s="890"/>
      <c r="AK407" s="890"/>
      <c r="AL407" s="890"/>
      <c r="AM407" s="890"/>
      <c r="AN407" s="890"/>
      <c r="AO407" s="890"/>
      <c r="AP407" s="890"/>
      <c r="AQ407" s="890"/>
    </row>
    <row r="408" spans="4:43" ht="19.5" customHeight="1" outlineLevel="1">
      <c r="D408" s="1">
        <v>26</v>
      </c>
      <c r="AB408" s="898" t="s">
        <v>1516</v>
      </c>
      <c r="AC408" s="781"/>
      <c r="AD408" s="781"/>
      <c r="AE408" s="781"/>
      <c r="AF408" s="781"/>
      <c r="AG408" s="781"/>
      <c r="AH408" s="781"/>
      <c r="AI408" s="781"/>
      <c r="AJ408" s="781"/>
      <c r="AK408" s="781"/>
      <c r="AL408" s="781"/>
      <c r="AM408" s="781"/>
      <c r="AN408" s="781"/>
      <c r="AO408" s="781"/>
      <c r="AP408" s="781"/>
      <c r="AQ408" s="781"/>
    </row>
    <row r="409" spans="4:43" ht="33.75" customHeight="1" outlineLevel="1">
      <c r="D409" s="1">
        <v>45</v>
      </c>
      <c r="AB409" s="896" t="e">
        <f>"Утверждённые расходы на "&amp;PRD-1&amp;" год составили "&amp;ROUND(#REF!,2)&amp;" тыс. руб. Организацией на "&amp;PRD&amp;" год по данной статье заявлены расходы в размере "&amp;ROUND(#REF!,2)&amp;" тыс. руб."</f>
        <v>#REF!</v>
      </c>
      <c r="AC409" s="896"/>
      <c r="AD409" s="896"/>
      <c r="AE409" s="896"/>
      <c r="AF409" s="896"/>
      <c r="AG409" s="896"/>
      <c r="AH409" s="896"/>
      <c r="AI409" s="896"/>
      <c r="AJ409" s="896"/>
      <c r="AK409" s="896"/>
      <c r="AL409" s="896"/>
      <c r="AM409" s="896"/>
      <c r="AN409" s="896"/>
      <c r="AO409" s="896"/>
      <c r="AP409" s="896"/>
      <c r="AQ409" s="896"/>
    </row>
    <row r="410" spans="4:43" ht="19.5" customHeight="1" outlineLevel="1">
      <c r="D410" s="1">
        <v>26</v>
      </c>
      <c r="AB410" s="896" t="str">
        <f>"Для обоснования расходов "&amp;AG27&amp;" представлена копия налоговой декларации по налогу"</f>
        <v>Для обоснования расходов МУП "Горэлектросети" представлена копия налоговой декларации по налогу</v>
      </c>
      <c r="AC410" s="896"/>
      <c r="AD410" s="896"/>
      <c r="AE410" s="896"/>
      <c r="AF410" s="896"/>
      <c r="AG410" s="896"/>
      <c r="AH410" s="896"/>
      <c r="AI410" s="896"/>
      <c r="AJ410" s="896"/>
      <c r="AK410" s="896"/>
      <c r="AL410" s="896"/>
      <c r="AM410" s="896"/>
      <c r="AN410" s="896"/>
      <c r="AO410" s="896"/>
      <c r="AP410" s="896"/>
      <c r="AQ410" s="896"/>
    </row>
    <row r="411" spans="4:43" ht="33.75" customHeight="1" outlineLevel="1">
      <c r="D411" s="1">
        <v>45</v>
      </c>
      <c r="AB411" s="894"/>
      <c r="AC411" s="894"/>
      <c r="AD411" s="894"/>
      <c r="AE411" s="894"/>
      <c r="AF411" s="894"/>
      <c r="AG411" s="894"/>
      <c r="AH411" s="894"/>
      <c r="AI411" s="894"/>
      <c r="AJ411" s="894"/>
      <c r="AK411" s="894"/>
      <c r="AL411" s="894"/>
      <c r="AM411" s="894"/>
      <c r="AN411" s="894"/>
      <c r="AO411" s="894"/>
      <c r="AP411" s="894"/>
      <c r="AQ411" s="894"/>
    </row>
    <row r="412" spans="4:43" ht="21.75" customHeight="1" outlineLevel="1">
      <c r="D412" s="1">
        <v>29</v>
      </c>
      <c r="AB412" s="896" t="s">
        <v>1517</v>
      </c>
      <c r="AC412" s="896"/>
      <c r="AD412" s="896"/>
      <c r="AE412" s="896"/>
      <c r="AF412" s="896"/>
      <c r="AG412" s="896"/>
      <c r="AI412" s="327"/>
    </row>
    <row r="413" spans="4:43" ht="33.75" customHeight="1" outlineLevel="1">
      <c r="D413" s="1">
        <v>45</v>
      </c>
      <c r="AB413" s="896" t="e">
        <f>"Эксперты, проанализировав представленные организацией обоснования статьи, приняли решение учесть расходы в размере "&amp;ROUND(#REF!,2)&amp;" тыс. руб."</f>
        <v>#REF!</v>
      </c>
      <c r="AC413" s="896"/>
      <c r="AD413" s="896"/>
      <c r="AE413" s="896"/>
      <c r="AF413" s="896"/>
      <c r="AG413" s="896"/>
      <c r="AH413" s="896"/>
      <c r="AI413" s="896"/>
      <c r="AJ413" s="896"/>
      <c r="AK413" s="896"/>
      <c r="AL413" s="896"/>
      <c r="AM413" s="896"/>
      <c r="AN413" s="896"/>
      <c r="AO413" s="896"/>
      <c r="AP413" s="896"/>
      <c r="AQ413" s="896"/>
    </row>
    <row r="414" spans="4:43" ht="33.75" customHeight="1" outlineLevel="1">
      <c r="D414" s="1">
        <v>45</v>
      </c>
      <c r="AB414" s="894"/>
      <c r="AC414" s="894"/>
      <c r="AD414" s="894"/>
      <c r="AE414" s="894"/>
      <c r="AF414" s="894"/>
      <c r="AG414" s="894"/>
      <c r="AH414" s="894"/>
      <c r="AI414" s="894"/>
      <c r="AJ414" s="894"/>
      <c r="AK414" s="894"/>
      <c r="AL414" s="894"/>
      <c r="AM414" s="894"/>
      <c r="AN414" s="894"/>
      <c r="AO414" s="894"/>
      <c r="AP414" s="894"/>
      <c r="AQ414" s="894"/>
    </row>
    <row r="415" spans="4:43" ht="33.75" customHeight="1" outlineLevel="1">
      <c r="D415" s="1">
        <v>45</v>
      </c>
      <c r="AB415" s="894"/>
      <c r="AC415" s="894"/>
      <c r="AD415" s="894"/>
      <c r="AE415" s="894"/>
      <c r="AF415" s="894"/>
      <c r="AG415" s="894"/>
      <c r="AH415" s="894"/>
      <c r="AI415" s="894"/>
      <c r="AJ415" s="894"/>
      <c r="AK415" s="894"/>
      <c r="AL415" s="894"/>
      <c r="AM415" s="894"/>
      <c r="AN415" s="894"/>
      <c r="AO415" s="894"/>
      <c r="AP415" s="894"/>
      <c r="AQ415" s="894"/>
    </row>
    <row r="416" spans="4:43" ht="33.75" customHeight="1" outlineLevel="1">
      <c r="D416" s="1">
        <v>45</v>
      </c>
      <c r="AB416" s="896" t="e">
        <f>" Расходы на уплату налогов организацией на "&amp;PRD-2&amp;" год планирвоались "&amp;ROUND(#REF!,2)&amp;", фактические расходы составили "&amp;ROUND(#REF!,2)&amp;"  тыс.руб. и признаются экспертами экономически обоснованными на "&amp;PRD&amp;" год в размере "&amp;ROUND(#REF!,2)&amp;" тыс. руб."</f>
        <v>#REF!</v>
      </c>
      <c r="AC416" s="896"/>
      <c r="AD416" s="896"/>
      <c r="AE416" s="896"/>
      <c r="AF416" s="896"/>
      <c r="AG416" s="896"/>
      <c r="AH416" s="896"/>
      <c r="AI416" s="896"/>
      <c r="AJ416" s="896"/>
      <c r="AK416" s="896"/>
      <c r="AL416" s="896"/>
      <c r="AM416" s="896"/>
      <c r="AN416" s="896"/>
      <c r="AO416" s="896"/>
      <c r="AP416" s="896"/>
      <c r="AQ416" s="896"/>
    </row>
    <row r="417" spans="4:45" ht="33.75" customHeight="1">
      <c r="D417" s="1">
        <v>45</v>
      </c>
      <c r="AB417" s="781"/>
      <c r="AC417" s="781"/>
      <c r="AD417" s="781"/>
      <c r="AE417" s="781"/>
      <c r="AF417" s="781"/>
      <c r="AG417" s="781"/>
      <c r="AH417" s="781"/>
      <c r="AI417" s="781"/>
      <c r="AJ417" s="781"/>
      <c r="AK417" s="781"/>
      <c r="AL417" s="781"/>
      <c r="AM417" s="781"/>
      <c r="AN417" s="781"/>
      <c r="AO417" s="781"/>
      <c r="AP417" s="781"/>
      <c r="AQ417" s="781"/>
    </row>
    <row r="418" spans="4:45" ht="19.5" customHeight="1" outlineLevel="1">
      <c r="D418" s="1">
        <v>26</v>
      </c>
      <c r="AA418" s="781"/>
      <c r="AB418" s="898" t="s">
        <v>1518</v>
      </c>
      <c r="AC418" s="781"/>
      <c r="AD418" s="781"/>
      <c r="AE418" s="781"/>
      <c r="AF418" s="781"/>
      <c r="AG418" s="781"/>
      <c r="AH418" s="781"/>
      <c r="AI418" s="781"/>
      <c r="AJ418" s="781"/>
      <c r="AK418" s="781"/>
      <c r="AL418" s="781"/>
      <c r="AM418" s="781"/>
      <c r="AN418" s="781"/>
      <c r="AO418" s="781"/>
      <c r="AP418" s="781"/>
      <c r="AQ418" s="781"/>
    </row>
    <row r="419" spans="4:45" ht="33.75" customHeight="1" outlineLevel="1">
      <c r="D419" s="1">
        <v>45</v>
      </c>
      <c r="AA419" s="781"/>
      <c r="AB419" s="896" t="e">
        <f>"Утверждённые расходы на "&amp;PRD-1&amp;" год составили "&amp;ROUND(#REF!,2)&amp;" тыс. руб. Планируемый организацией размер страховых взносов, включаемых в необходимую валовую выручку на "&amp;PRD&amp;" год, составляет "&amp;ROUND(#REF!,2)&amp;" тыс. руб. "</f>
        <v>#REF!</v>
      </c>
      <c r="AC419" s="896"/>
      <c r="AD419" s="896"/>
      <c r="AE419" s="896"/>
      <c r="AF419" s="896"/>
      <c r="AG419" s="896"/>
      <c r="AH419" s="896"/>
      <c r="AI419" s="896"/>
      <c r="AJ419" s="896"/>
      <c r="AK419" s="896"/>
      <c r="AL419" s="896"/>
      <c r="AM419" s="896"/>
      <c r="AN419" s="896"/>
      <c r="AO419" s="896"/>
      <c r="AP419" s="896"/>
      <c r="AQ419" s="896"/>
    </row>
    <row r="420" spans="4:45" ht="19.5" customHeight="1" outlineLevel="1">
      <c r="D420" s="1">
        <v>26</v>
      </c>
      <c r="AB420" s="896" t="e">
        <f>"Фактические расходы по статье «Отчисления на социальные нужды» за "&amp;PRD-2&amp;" год, в размере "&amp;ROUND(#REF!,2)&amp;" тыс. руб., подтверждены оборотно-сальдовыми ведомостями по сч. 20, сч.69"</f>
        <v>#REF!</v>
      </c>
      <c r="AC420" s="896"/>
      <c r="AD420" s="896"/>
      <c r="AE420" s="896"/>
      <c r="AF420" s="896"/>
      <c r="AG420" s="896"/>
      <c r="AH420" s="896"/>
      <c r="AI420" s="896"/>
      <c r="AJ420" s="896"/>
      <c r="AK420" s="896"/>
      <c r="AL420" s="896"/>
      <c r="AM420" s="896"/>
      <c r="AN420" s="896"/>
      <c r="AO420" s="896"/>
      <c r="AP420" s="896"/>
      <c r="AQ420" s="896"/>
    </row>
    <row r="421" spans="4:45" ht="33.75" customHeight="1" outlineLevel="1">
      <c r="D421" s="1">
        <v>45</v>
      </c>
      <c r="AB421" s="894"/>
      <c r="AC421" s="894"/>
      <c r="AD421" s="894"/>
      <c r="AE421" s="894"/>
      <c r="AF421" s="894"/>
      <c r="AG421" s="894"/>
      <c r="AH421" s="894"/>
      <c r="AI421" s="894"/>
      <c r="AJ421" s="894"/>
      <c r="AK421" s="894"/>
      <c r="AL421" s="894"/>
      <c r="AM421" s="894"/>
      <c r="AN421" s="894"/>
      <c r="AO421" s="894"/>
      <c r="AP421" s="894"/>
      <c r="AQ421" s="894"/>
    </row>
    <row r="422" spans="4:45" ht="33.75" customHeight="1" outlineLevel="1">
      <c r="D422" s="1">
        <v>45</v>
      </c>
      <c r="AB422" s="894"/>
      <c r="AC422" s="894"/>
      <c r="AD422" s="894"/>
      <c r="AE422" s="894"/>
      <c r="AF422" s="894"/>
      <c r="AG422" s="894"/>
      <c r="AH422" s="894"/>
      <c r="AI422" s="894"/>
      <c r="AJ422" s="894"/>
      <c r="AK422" s="894"/>
      <c r="AL422" s="894"/>
      <c r="AM422" s="894"/>
      <c r="AN422" s="894"/>
      <c r="AO422" s="894"/>
      <c r="AP422" s="894"/>
      <c r="AQ422" s="894"/>
    </row>
    <row r="423" spans="4:45" ht="33.75" customHeight="1" outlineLevel="1">
      <c r="D423" s="1">
        <v>45</v>
      </c>
      <c r="AB423" s="894"/>
      <c r="AC423" s="894"/>
      <c r="AD423" s="894"/>
      <c r="AE423" s="894"/>
      <c r="AF423" s="894"/>
      <c r="AG423" s="894"/>
      <c r="AH423" s="894"/>
      <c r="AI423" s="894"/>
      <c r="AJ423" s="894"/>
      <c r="AK423" s="894"/>
      <c r="AL423" s="894"/>
      <c r="AM423" s="894"/>
      <c r="AN423" s="894"/>
      <c r="AO423" s="894"/>
      <c r="AP423" s="894"/>
      <c r="AQ423" s="894"/>
    </row>
    <row r="424" spans="4:45" ht="49.5" customHeight="1" outlineLevel="2">
      <c r="D424" s="1">
        <v>66</v>
      </c>
      <c r="AB424" s="896" t="s">
        <v>1519</v>
      </c>
      <c r="AC424" s="896"/>
      <c r="AD424" s="896"/>
      <c r="AE424" s="896"/>
      <c r="AF424" s="896"/>
      <c r="AG424" s="896"/>
      <c r="AH424" s="896"/>
      <c r="AI424" s="896"/>
      <c r="AJ424" s="896"/>
      <c r="AK424" s="896"/>
      <c r="AL424" s="896"/>
      <c r="AM424" s="896"/>
      <c r="AN424" s="896"/>
      <c r="AO424" s="896"/>
      <c r="AP424" s="896"/>
      <c r="AQ424" s="896"/>
    </row>
    <row r="425" spans="4:45" ht="36" customHeight="1" outlineLevel="2">
      <c r="D425" s="1">
        <v>48</v>
      </c>
      <c r="AB425" s="896" t="str">
        <f>"Фондом социального страхования РФ для "&amp;AG27&amp;" определен"</f>
        <v>Фондом социального страхования РФ для МУП "Горэлектросети" определен</v>
      </c>
      <c r="AC425" s="896"/>
      <c r="AD425" s="896"/>
      <c r="AE425" s="896"/>
      <c r="AF425" s="896"/>
      <c r="AG425" s="896"/>
      <c r="AH425" s="327"/>
      <c r="AI425" s="892" t="s">
        <v>1520</v>
      </c>
      <c r="AJ425" s="781"/>
      <c r="AK425" s="781"/>
      <c r="AL425" s="781"/>
      <c r="AM425" s="781"/>
      <c r="AN425" s="781"/>
      <c r="AO425" s="781"/>
      <c r="AP425" s="781"/>
      <c r="AQ425" s="781"/>
      <c r="AR425" s="781"/>
      <c r="AS425" s="781"/>
    </row>
    <row r="426" spans="4:45" ht="21.75" customHeight="1" outlineLevel="2">
      <c r="D426" s="1">
        <v>29</v>
      </c>
      <c r="AB426" s="896" t="s">
        <v>1521</v>
      </c>
      <c r="AC426" s="896"/>
      <c r="AD426" s="896"/>
      <c r="AE426" s="896"/>
      <c r="AF426" s="896"/>
      <c r="AG426" s="896"/>
      <c r="AH426" s="327"/>
      <c r="AI426" s="892" t="s">
        <v>1522</v>
      </c>
      <c r="AJ426" s="781"/>
      <c r="AK426" s="781"/>
      <c r="AL426" s="781"/>
      <c r="AM426" s="781"/>
      <c r="AN426" s="781"/>
      <c r="AO426" s="781"/>
      <c r="AP426" s="781"/>
      <c r="AQ426" s="781"/>
      <c r="AR426" s="781"/>
      <c r="AS426" s="781"/>
    </row>
    <row r="427" spans="4:45" ht="33.75" customHeight="1" outlineLevel="2">
      <c r="D427" s="1">
        <v>45</v>
      </c>
      <c r="AB427" s="896" t="s">
        <v>1523</v>
      </c>
      <c r="AC427" s="896"/>
      <c r="AD427" s="896"/>
      <c r="AE427" s="896"/>
      <c r="AF427" s="896"/>
      <c r="AG427" s="896"/>
      <c r="AH427" s="896"/>
      <c r="AI427" s="896"/>
      <c r="AJ427" s="896"/>
      <c r="AK427" s="896"/>
      <c r="AL427" s="896"/>
      <c r="AM427" s="896"/>
      <c r="AN427" s="896"/>
      <c r="AO427" s="896"/>
      <c r="AP427" s="896"/>
      <c r="AQ427" s="896"/>
    </row>
    <row r="428" spans="4:45" ht="33.75" customHeight="1" outlineLevel="2">
      <c r="D428" s="1">
        <v>45</v>
      </c>
      <c r="AB428" s="896" t="str">
        <f>IFERROR("Таким образом, экспертами отчисления на социальные нужды принимаются из расчёта  "&amp;ROUND((#REF!/#REF!)*100,2)&amp;"% к рассчитанному фонду оплаты труда ( "&amp;ROUND(#REF!,2)&amp;" тыс. руб.) и составят на "&amp;PRD&amp;" год "&amp;ROUND(#REF!,2)&amp;" тыс. руб.","")</f>
        <v/>
      </c>
      <c r="AC428" s="896"/>
      <c r="AD428" s="896"/>
      <c r="AE428" s="896"/>
      <c r="AF428" s="896"/>
      <c r="AG428" s="896"/>
      <c r="AH428" s="896"/>
      <c r="AI428" s="896"/>
      <c r="AJ428" s="896"/>
      <c r="AK428" s="896"/>
      <c r="AL428" s="896"/>
      <c r="AM428" s="896"/>
      <c r="AN428" s="896"/>
      <c r="AO428" s="896"/>
      <c r="AP428" s="896"/>
      <c r="AQ428" s="896"/>
    </row>
    <row r="429" spans="4:45" ht="43.5" customHeight="1" outlineLevel="2">
      <c r="D429" s="1">
        <v>58</v>
      </c>
      <c r="AB429" s="896" t="str">
        <f>" Cреднемесячная заработная плата работников по полному кругу организаций (по виду деятельности «Обеспечение электрической энергией, газом и паром, кондиционирование воздуха») по данным органов статистики по "&amp;Титульный!AC183&amp;" за "&amp;PRD-2&amp;" год составила, тыс.руб."</f>
        <v xml:space="preserve"> Cреднемесячная заработная плата работников по полному кругу организаций (по виду деятельности «Обеспечение электрической энергией, газом и паром, кондиционирование воздуха») по данным органов статистики по  за 2024 год составила, тыс.руб.</v>
      </c>
      <c r="AC429" s="896"/>
      <c r="AD429" s="896"/>
      <c r="AE429" s="896"/>
      <c r="AF429" s="896"/>
      <c r="AG429" s="896"/>
      <c r="AH429" s="896"/>
      <c r="AI429" s="896"/>
      <c r="AJ429" s="896"/>
      <c r="AK429" s="896"/>
      <c r="AL429" s="896"/>
      <c r="AM429" s="896"/>
      <c r="AN429" s="896"/>
      <c r="AO429" s="896"/>
      <c r="AP429" s="899"/>
      <c r="AQ429" s="327"/>
    </row>
    <row r="430" spans="4:45" ht="51" customHeight="1" outlineLevel="2">
      <c r="D430" s="1">
        <v>68</v>
      </c>
      <c r="AB430" s="896" t="str">
        <f>IFERROR("Экспертами был проведён анализ экономической обоснованности фактических расходов затрат по статье «Отчисления на социальные нужды» за "&amp;PRD-2&amp;" год. Фактическая заработная плата за "&amp;PRD-2&amp;" год по данным организации на 1 работника составила "&amp;(ROUND(#REF!/#REF!/12,2)&amp;" тыс.руб., что "&amp;IF((#REF!/#REF!)&gt;AQ429,"выше",IF((#REF!/#REF!)&gt;AQ429,"ниже","равно"))&amp;" среднемесячной заработной платы работников по полному кругу организаций (по виду деятельности «Обеспечение электрической энергией, газом и паром, кондиционирование воздуха»)."),"")</f>
        <v/>
      </c>
      <c r="AC430" s="896"/>
      <c r="AD430" s="896"/>
      <c r="AE430" s="896"/>
      <c r="AF430" s="896"/>
      <c r="AG430" s="896"/>
      <c r="AH430" s="896"/>
      <c r="AI430" s="896"/>
      <c r="AJ430" s="896"/>
      <c r="AK430" s="896"/>
      <c r="AL430" s="896"/>
      <c r="AM430" s="896"/>
      <c r="AN430" s="896"/>
      <c r="AO430" s="896"/>
      <c r="AP430" s="896"/>
      <c r="AQ430" s="896"/>
    </row>
    <row r="431" spans="4:45" ht="33.75" customHeight="1" outlineLevel="2">
      <c r="D431" s="1">
        <v>45</v>
      </c>
      <c r="AB431" s="894"/>
      <c r="AC431" s="894"/>
      <c r="AD431" s="894"/>
      <c r="AE431" s="894"/>
      <c r="AF431" s="894"/>
      <c r="AG431" s="894"/>
      <c r="AH431" s="894"/>
      <c r="AI431" s="894"/>
      <c r="AJ431" s="894"/>
      <c r="AK431" s="894"/>
      <c r="AL431" s="894"/>
      <c r="AM431" s="894"/>
      <c r="AN431" s="894"/>
      <c r="AO431" s="894"/>
      <c r="AP431" s="894"/>
      <c r="AQ431" s="894"/>
    </row>
    <row r="432" spans="4:45" ht="33.75" customHeight="1" outlineLevel="2">
      <c r="D432" s="1">
        <v>45</v>
      </c>
      <c r="AB432" s="896"/>
      <c r="AC432" s="896"/>
      <c r="AD432" s="896"/>
      <c r="AE432" s="896"/>
      <c r="AF432" s="896"/>
      <c r="AG432" s="896"/>
      <c r="AH432" s="896"/>
      <c r="AI432" s="896"/>
      <c r="AJ432" s="896"/>
      <c r="AK432" s="896"/>
      <c r="AL432" s="896"/>
      <c r="AM432" s="896"/>
      <c r="AN432" s="896"/>
      <c r="AO432" s="896"/>
      <c r="AP432" s="896"/>
      <c r="AQ432" s="896"/>
    </row>
    <row r="433" spans="4:43" ht="33.75" customHeight="1">
      <c r="D433">
        <v>45</v>
      </c>
      <c r="AB433" s="781"/>
      <c r="AC433" s="781"/>
      <c r="AD433" s="781"/>
      <c r="AE433" s="781"/>
      <c r="AF433" s="781"/>
      <c r="AG433" s="781"/>
      <c r="AH433" s="781"/>
      <c r="AI433" s="781"/>
      <c r="AJ433" s="781"/>
      <c r="AK433" s="781"/>
      <c r="AL433" s="781"/>
      <c r="AM433" s="781"/>
      <c r="AN433" s="781"/>
      <c r="AO433" s="781"/>
      <c r="AP433" s="781"/>
      <c r="AQ433" s="781"/>
    </row>
    <row r="434" spans="4:43" ht="33.75" customHeight="1">
      <c r="D434" s="1">
        <v>45</v>
      </c>
      <c r="AB434" s="898" t="s">
        <v>1524</v>
      </c>
      <c r="AC434" s="890"/>
      <c r="AD434" s="890"/>
      <c r="AE434" s="890"/>
      <c r="AF434" s="890"/>
      <c r="AG434" s="890"/>
      <c r="AH434" s="890"/>
      <c r="AI434" s="890"/>
      <c r="AJ434" s="890"/>
      <c r="AK434" s="890"/>
      <c r="AL434" s="890"/>
      <c r="AM434" s="890"/>
      <c r="AN434" s="890"/>
      <c r="AO434" s="890"/>
      <c r="AP434" s="890"/>
      <c r="AQ434" s="890"/>
    </row>
    <row r="435" spans="4:43" ht="33.75" customHeight="1" outlineLevel="1">
      <c r="D435" s="1">
        <v>45</v>
      </c>
      <c r="AB435" s="894" t="e">
        <f>"Утверждённые расходы на "&amp;PRD-1&amp;" год составили "&amp;ROUND(#REF!,2)&amp;" тыс. руб. Планируемый организацией размер прибыли на капитальные вложения, включаемых в необходимую валовую выручку на "&amp;PRD&amp;" год, составляет "&amp;ROUND(#REF!,2)&amp;" тыс. руб. "</f>
        <v>#REF!</v>
      </c>
      <c r="AC435" s="894"/>
      <c r="AD435" s="894"/>
      <c r="AE435" s="894"/>
      <c r="AF435" s="894"/>
      <c r="AG435" s="894"/>
      <c r="AH435" s="894"/>
      <c r="AI435" s="894"/>
      <c r="AJ435" s="894"/>
      <c r="AK435" s="894"/>
      <c r="AL435" s="894"/>
      <c r="AM435" s="894"/>
      <c r="AN435" s="894"/>
      <c r="AO435" s="894"/>
      <c r="AP435" s="894"/>
      <c r="AQ435" s="894"/>
    </row>
    <row r="436" spans="4:43" ht="33.75" customHeight="1" outlineLevel="1">
      <c r="D436" s="1">
        <v>45</v>
      </c>
      <c r="AB436" s="894" t="s">
        <v>1525</v>
      </c>
      <c r="AC436" s="894"/>
      <c r="AD436" s="894"/>
      <c r="AE436" s="894"/>
      <c r="AF436" s="894"/>
      <c r="AG436" s="894"/>
      <c r="AH436" s="894"/>
      <c r="AI436" s="894"/>
      <c r="AJ436" s="894"/>
      <c r="AK436" s="894"/>
      <c r="AL436" s="894"/>
      <c r="AM436" s="894"/>
      <c r="AN436" s="894"/>
      <c r="AO436" s="894"/>
      <c r="AP436" s="894"/>
      <c r="AQ436" s="894"/>
    </row>
    <row r="437" spans="4:43" ht="33.75" customHeight="1" outlineLevel="1">
      <c r="D437" s="1">
        <v>45</v>
      </c>
      <c r="AB437" s="894" t="s">
        <v>1526</v>
      </c>
      <c r="AC437" s="894"/>
      <c r="AD437" s="894"/>
      <c r="AE437" s="894"/>
      <c r="AF437" s="894"/>
      <c r="AG437" s="894"/>
      <c r="AH437" s="894"/>
      <c r="AI437" s="894"/>
      <c r="AJ437" s="894"/>
      <c r="AK437" s="894"/>
      <c r="AL437" s="894"/>
      <c r="AM437" s="894"/>
      <c r="AN437" s="894"/>
      <c r="AO437" s="894"/>
      <c r="AP437" s="894"/>
      <c r="AQ437" s="894"/>
    </row>
    <row r="438" spans="4:43" ht="33.75" customHeight="1" outlineLevel="1">
      <c r="D438" s="1">
        <v>45</v>
      </c>
      <c r="AB438" s="894"/>
      <c r="AC438" s="894"/>
      <c r="AD438" s="894"/>
      <c r="AE438" s="894"/>
      <c r="AF438" s="894"/>
      <c r="AG438" s="894"/>
      <c r="AH438" s="894"/>
      <c r="AI438" s="894"/>
      <c r="AJ438" s="894"/>
      <c r="AK438" s="894"/>
      <c r="AL438" s="894"/>
      <c r="AM438" s="894"/>
      <c r="AN438" s="894"/>
      <c r="AO438" s="894"/>
      <c r="AP438" s="894"/>
      <c r="AQ438" s="894"/>
    </row>
    <row r="439" spans="4:43" ht="33.75" customHeight="1" outlineLevel="1">
      <c r="D439" s="1">
        <v>45</v>
      </c>
      <c r="AB439" s="894"/>
      <c r="AC439" s="894"/>
      <c r="AD439" s="894"/>
      <c r="AE439" s="894"/>
      <c r="AF439" s="894"/>
      <c r="AG439" s="894"/>
      <c r="AH439" s="894"/>
      <c r="AI439" s="894"/>
      <c r="AJ439" s="894"/>
      <c r="AK439" s="894"/>
      <c r="AL439" s="894"/>
      <c r="AM439" s="894"/>
      <c r="AN439" s="894"/>
      <c r="AO439" s="894"/>
      <c r="AP439" s="894"/>
      <c r="AQ439" s="894"/>
    </row>
    <row r="440" spans="4:43" ht="33.75" customHeight="1" outlineLevel="1">
      <c r="D440" s="1">
        <v>45</v>
      </c>
      <c r="AB440" s="894" t="e">
        <f>"Экспертами принято решение учесть расходы по данной статье в размере "&amp;ROUND(#REF!,2)&amp;" тыс. руб."</f>
        <v>#REF!</v>
      </c>
      <c r="AC440" s="894"/>
      <c r="AD440" s="894"/>
      <c r="AE440" s="894"/>
      <c r="AF440" s="894"/>
      <c r="AG440" s="894"/>
      <c r="AH440" s="894"/>
      <c r="AI440" s="894"/>
      <c r="AJ440" s="894"/>
      <c r="AK440" s="894"/>
      <c r="AL440" s="894"/>
      <c r="AM440" s="894"/>
      <c r="AN440" s="894"/>
      <c r="AO440" s="894"/>
      <c r="AP440" s="894"/>
      <c r="AQ440" s="894"/>
    </row>
    <row r="441" spans="4:43" ht="33.75" customHeight="1" outlineLevel="1">
      <c r="D441" s="1">
        <v>45</v>
      </c>
      <c r="AB441" s="894"/>
      <c r="AC441" s="894"/>
      <c r="AD441" s="894"/>
      <c r="AE441" s="894"/>
      <c r="AF441" s="894"/>
      <c r="AG441" s="894"/>
      <c r="AH441" s="894"/>
      <c r="AI441" s="894"/>
      <c r="AJ441" s="894"/>
      <c r="AK441" s="894"/>
      <c r="AL441" s="894"/>
      <c r="AM441" s="894"/>
      <c r="AN441" s="894"/>
      <c r="AO441" s="894"/>
      <c r="AP441" s="894"/>
      <c r="AQ441" s="894"/>
    </row>
    <row r="442" spans="4:43" ht="33.75" customHeight="1" outlineLevel="1">
      <c r="D442" s="1">
        <v>45</v>
      </c>
      <c r="AB442" s="894"/>
      <c r="AC442" s="894"/>
      <c r="AD442" s="894"/>
      <c r="AE442" s="894"/>
      <c r="AF442" s="894"/>
      <c r="AG442" s="894"/>
      <c r="AH442" s="894"/>
      <c r="AI442" s="894"/>
      <c r="AJ442" s="894"/>
      <c r="AK442" s="894"/>
      <c r="AL442" s="894"/>
      <c r="AM442" s="894"/>
      <c r="AN442" s="894"/>
      <c r="AO442" s="894"/>
      <c r="AP442" s="894"/>
      <c r="AQ442" s="894"/>
    </row>
    <row r="443" spans="4:43" ht="33.75" customHeight="1" outlineLevel="1">
      <c r="D443" s="1">
        <v>45</v>
      </c>
      <c r="AB443" s="894" t="e">
        <f>"Фактические расходы по данной статье  за "&amp;PRD-2&amp;" год, в размере "&amp;ROUND(#REF!,2)&amp;" тыс. руб., подтверждены отчетами по инвестиционной программе"</f>
        <v>#REF!</v>
      </c>
      <c r="AC443" s="894"/>
      <c r="AD443" s="894"/>
      <c r="AE443" s="894"/>
      <c r="AF443" s="894"/>
      <c r="AG443" s="894"/>
      <c r="AH443" s="894"/>
      <c r="AI443" s="894"/>
      <c r="AJ443" s="894"/>
      <c r="AK443" s="894"/>
      <c r="AL443" s="894"/>
      <c r="AM443" s="894"/>
      <c r="AN443" s="894"/>
      <c r="AO443" s="894"/>
      <c r="AP443" s="894"/>
      <c r="AQ443" s="894"/>
    </row>
    <row r="444" spans="4:43" ht="33.75" customHeight="1" outlineLevel="1">
      <c r="D444" s="1">
        <v>45</v>
      </c>
      <c r="AB444" s="894"/>
      <c r="AC444" s="894"/>
      <c r="AD444" s="894"/>
      <c r="AE444" s="894"/>
      <c r="AF444" s="894"/>
      <c r="AG444" s="894"/>
      <c r="AH444" s="894"/>
      <c r="AI444" s="894"/>
      <c r="AJ444" s="894"/>
      <c r="AK444" s="894"/>
      <c r="AL444" s="894"/>
      <c r="AM444" s="894"/>
      <c r="AN444" s="894"/>
      <c r="AO444" s="894"/>
      <c r="AP444" s="894"/>
      <c r="AQ444" s="894"/>
    </row>
    <row r="445" spans="4:43" ht="33.75" customHeight="1" outlineLevel="1">
      <c r="D445" s="1">
        <v>45</v>
      </c>
      <c r="AB445" s="894"/>
      <c r="AC445" s="894"/>
      <c r="AD445" s="894"/>
      <c r="AE445" s="894"/>
      <c r="AF445" s="894"/>
      <c r="AG445" s="894"/>
      <c r="AH445" s="894"/>
      <c r="AI445" s="894"/>
      <c r="AJ445" s="894"/>
      <c r="AK445" s="894"/>
      <c r="AL445" s="894"/>
      <c r="AM445" s="894"/>
      <c r="AN445" s="894"/>
      <c r="AO445" s="894"/>
      <c r="AP445" s="894"/>
      <c r="AQ445" s="894"/>
    </row>
    <row r="446" spans="4:43" ht="33.75" customHeight="1" outlineLevel="1">
      <c r="D446" s="1">
        <v>45</v>
      </c>
      <c r="AB446" s="894"/>
      <c r="AC446" s="894"/>
      <c r="AD446" s="894"/>
      <c r="AE446" s="894"/>
      <c r="AF446" s="894"/>
      <c r="AG446" s="894"/>
      <c r="AH446" s="894"/>
      <c r="AI446" s="894"/>
      <c r="AJ446" s="894"/>
      <c r="AK446" s="894"/>
      <c r="AL446" s="894"/>
      <c r="AM446" s="894"/>
      <c r="AN446" s="894"/>
      <c r="AO446" s="894"/>
      <c r="AP446" s="894"/>
      <c r="AQ446" s="894"/>
    </row>
    <row r="447" spans="4:43" ht="33.75" customHeight="1">
      <c r="D447">
        <v>45</v>
      </c>
      <c r="AB447" s="890"/>
      <c r="AC447" s="890"/>
      <c r="AD447" s="890"/>
      <c r="AE447" s="890"/>
      <c r="AF447" s="890"/>
      <c r="AG447" s="890"/>
      <c r="AH447" s="890"/>
      <c r="AI447" s="890"/>
      <c r="AJ447" s="890"/>
      <c r="AK447" s="890"/>
      <c r="AL447" s="890"/>
      <c r="AM447" s="890"/>
      <c r="AN447" s="890"/>
      <c r="AO447" s="890"/>
      <c r="AP447" s="890"/>
      <c r="AQ447" s="890"/>
    </row>
    <row r="448" spans="4:43" ht="19.5" customHeight="1" outlineLevel="1">
      <c r="D448" s="1">
        <v>26</v>
      </c>
      <c r="AB448" s="898" t="s">
        <v>1527</v>
      </c>
      <c r="AC448" s="781"/>
      <c r="AD448" s="781"/>
      <c r="AE448" s="781"/>
      <c r="AF448" s="781"/>
      <c r="AG448" s="781"/>
      <c r="AH448" s="781"/>
      <c r="AI448" s="781"/>
      <c r="AJ448" s="781"/>
      <c r="AK448" s="781"/>
      <c r="AL448" s="781"/>
      <c r="AM448" s="781"/>
      <c r="AN448" s="781"/>
      <c r="AO448" s="781"/>
      <c r="AP448" s="781"/>
      <c r="AQ448" s="781"/>
    </row>
    <row r="449" spans="4:43" ht="33.75" customHeight="1" outlineLevel="1">
      <c r="D449" s="1">
        <v>45</v>
      </c>
      <c r="AB449" s="896" t="s">
        <v>1528</v>
      </c>
      <c r="AC449" s="896"/>
      <c r="AD449" s="896"/>
      <c r="AE449" s="896"/>
      <c r="AF449" s="896"/>
      <c r="AG449" s="896"/>
      <c r="AH449" s="896"/>
      <c r="AI449" s="896"/>
      <c r="AJ449" s="896"/>
      <c r="AK449" s="896"/>
      <c r="AL449" s="896"/>
      <c r="AM449" s="896"/>
      <c r="AN449" s="896"/>
      <c r="AO449" s="896"/>
      <c r="AP449" s="896"/>
      <c r="AQ449" s="896"/>
    </row>
    <row r="450" spans="4:43" ht="25.5" customHeight="1" outlineLevel="1">
      <c r="D450" s="1">
        <v>34</v>
      </c>
      <c r="AB450" s="896" t="e">
        <f>"Утверждено на "&amp;PRD-1&amp;" год - "&amp;ROUND(#REF!,2)&amp;" тыс.руб."</f>
        <v>#REF!</v>
      </c>
      <c r="AC450" s="896"/>
      <c r="AD450" s="896"/>
      <c r="AE450" s="896"/>
      <c r="AF450" s="896"/>
      <c r="AG450" s="896"/>
      <c r="AH450" s="896"/>
      <c r="AI450" s="896"/>
      <c r="AJ450" s="896"/>
      <c r="AK450" s="896"/>
      <c r="AL450" s="896"/>
      <c r="AM450" s="896"/>
      <c r="AN450" s="896"/>
      <c r="AO450" s="896"/>
      <c r="AP450" s="896"/>
      <c r="AQ450" s="896"/>
    </row>
    <row r="451" spans="4:43" ht="33.75" customHeight="1" outlineLevel="1">
      <c r="D451" s="1">
        <v>45</v>
      </c>
      <c r="AB451" s="896" t="e">
        <f>AG27&amp;" планирует уплату налога на прибыль на "&amp;PRD&amp;" год, в размере "&amp;ROUND(#REF!,2)&amp;" тыс.руб."</f>
        <v>#REF!</v>
      </c>
      <c r="AC451" s="896"/>
      <c r="AD451" s="896"/>
      <c r="AE451" s="896"/>
      <c r="AF451" s="896"/>
      <c r="AG451" s="896"/>
      <c r="AH451" s="896"/>
      <c r="AI451" s="896"/>
      <c r="AJ451" s="896"/>
      <c r="AK451" s="896"/>
      <c r="AL451" s="896"/>
      <c r="AM451" s="896"/>
      <c r="AN451" s="896"/>
      <c r="AO451" s="896"/>
      <c r="AP451" s="896"/>
      <c r="AQ451" s="896"/>
    </row>
    <row r="452" spans="4:43" ht="33.75" customHeight="1" outlineLevel="1">
      <c r="D452" s="1">
        <v>45</v>
      </c>
      <c r="AB452" s="894"/>
      <c r="AC452" s="894"/>
      <c r="AD452" s="894"/>
      <c r="AE452" s="894"/>
      <c r="AF452" s="894"/>
      <c r="AG452" s="894"/>
      <c r="AH452" s="894"/>
      <c r="AI452" s="894"/>
      <c r="AJ452" s="894"/>
      <c r="AK452" s="894"/>
      <c r="AL452" s="894"/>
      <c r="AM452" s="894"/>
      <c r="AN452" s="894"/>
      <c r="AO452" s="894"/>
      <c r="AP452" s="894"/>
      <c r="AQ452" s="894"/>
    </row>
    <row r="453" spans="4:43" ht="67.5" customHeight="1" outlineLevel="1">
      <c r="D453" s="1">
        <v>90</v>
      </c>
      <c r="AB453" s="894" t="e">
        <f>IF(#REF!=0,"Пунктом 2 статьи 346.11 главы 26.2 «Упрощенная система налогообложения»  Налогового кодекса РФ предусмотрено: "&amp;"«Применение упрощенной системы налогообложения организациями предусматривает их освобождение"&amp;"от обязанности по уплате налога на прибыль организаций (за исключением налога, уплачиваемого с доходов, облагаемых по налоговым ставкам, предусмотренным пунктами 1.6, 3 и 4 статьи 284 настоящего Кодекса),"&amp;" налога на имущество организаций (за исключением налога, уплачиваемого в отношении объектов недвижимого имущества, налоговая база по которым определяется как их кадастровая стоимость в соответствии с Налоговым кодексом РФ».","")</f>
        <v>#REF!</v>
      </c>
      <c r="AC453" s="894"/>
      <c r="AD453" s="894"/>
      <c r="AE453" s="894"/>
      <c r="AF453" s="894"/>
      <c r="AG453" s="894"/>
      <c r="AH453" s="894"/>
      <c r="AI453" s="894"/>
      <c r="AJ453" s="894"/>
      <c r="AK453" s="894"/>
      <c r="AL453" s="894"/>
      <c r="AM453" s="894"/>
      <c r="AN453" s="894"/>
      <c r="AO453" s="894"/>
      <c r="AP453" s="894"/>
      <c r="AQ453" s="894"/>
    </row>
    <row r="454" spans="4:43" ht="27.75" customHeight="1" outlineLevel="1">
      <c r="D454" s="1">
        <v>37</v>
      </c>
      <c r="AB454" s="896" t="e">
        <f>"Экспертами принято решение "&amp;IF(#REF!=#REF!,"согласиться с организацией и учесть сумму налога на прибыль на "&amp;PRD&amp;" год в размере "&amp;ROUND(#REF!,2)&amp;" тыс. руб.","признать экономически обоснованными расходы на "&amp;PRD&amp;" год в размере "&amp;ROUND(#REF!,2)&amp;" тыс. руб.")</f>
        <v>#REF!</v>
      </c>
      <c r="AC454" s="896"/>
      <c r="AD454" s="896"/>
      <c r="AE454" s="896"/>
      <c r="AF454" s="896"/>
      <c r="AG454" s="896"/>
      <c r="AH454" s="896"/>
      <c r="AI454" s="896"/>
      <c r="AJ454" s="896"/>
      <c r="AK454" s="896"/>
      <c r="AL454" s="896"/>
      <c r="AM454" s="896"/>
      <c r="AN454" s="896"/>
      <c r="AO454" s="896"/>
      <c r="AP454" s="896"/>
      <c r="AQ454" s="896"/>
    </row>
    <row r="455" spans="4:43" ht="33.75" customHeight="1" outlineLevel="1">
      <c r="D455" s="1">
        <v>45</v>
      </c>
      <c r="AB455" s="896" t="e">
        <f>"Расходы на уплату налога на прибыль на "&amp;PRD-2&amp;" год планировались в размере  "&amp;ROUND(#REF!,2)&amp;" тыс.руб., фактические расходы составили  "&amp;ROUND(#REF!,2)&amp;" тыс.руб. и признаются экспертами экономически обоснованными в размере  "&amp;ROUND(#REF!,2)&amp;" тыс. руб. "</f>
        <v>#REF!</v>
      </c>
      <c r="AC455" s="896"/>
      <c r="AD455" s="896"/>
      <c r="AE455" s="896"/>
      <c r="AF455" s="896"/>
      <c r="AG455" s="896"/>
      <c r="AH455" s="896"/>
      <c r="AI455" s="896"/>
      <c r="AJ455" s="896"/>
      <c r="AK455" s="896"/>
      <c r="AL455" s="896"/>
      <c r="AM455" s="896"/>
      <c r="AN455" s="896"/>
      <c r="AO455" s="896"/>
      <c r="AP455" s="896"/>
      <c r="AQ455" s="896"/>
    </row>
    <row r="456" spans="4:43" ht="33.75" customHeight="1">
      <c r="D456" s="1">
        <v>45</v>
      </c>
      <c r="AB456" s="781"/>
      <c r="AC456" s="781"/>
      <c r="AD456" s="781"/>
      <c r="AE456" s="781"/>
      <c r="AF456" s="781"/>
      <c r="AG456" s="781"/>
      <c r="AH456" s="781"/>
      <c r="AI456" s="781"/>
      <c r="AJ456" s="781"/>
      <c r="AK456" s="781"/>
      <c r="AL456" s="781"/>
      <c r="AM456" s="781"/>
      <c r="AN456" s="781"/>
      <c r="AO456" s="781"/>
      <c r="AP456" s="781"/>
      <c r="AQ456" s="781"/>
    </row>
    <row r="457" spans="4:43" ht="33.75" customHeight="1" outlineLevel="1">
      <c r="D457" s="1">
        <v>45</v>
      </c>
      <c r="AB457" s="898" t="s">
        <v>1529</v>
      </c>
      <c r="AC457" s="890"/>
      <c r="AD457" s="890"/>
      <c r="AE457" s="890"/>
      <c r="AF457" s="890"/>
      <c r="AG457" s="890"/>
      <c r="AH457" s="890"/>
      <c r="AI457" s="890"/>
      <c r="AJ457" s="890"/>
      <c r="AK457" s="890"/>
      <c r="AL457" s="890"/>
      <c r="AM457" s="890"/>
      <c r="AN457" s="890"/>
      <c r="AO457" s="890"/>
      <c r="AP457" s="890"/>
      <c r="AQ457" s="890"/>
    </row>
    <row r="458" spans="4:43" ht="33.75" customHeight="1" outlineLevel="1">
      <c r="D458" s="1">
        <v>45</v>
      </c>
      <c r="AB458"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458" s="894"/>
      <c r="AD458" s="894"/>
      <c r="AE458" s="894"/>
      <c r="AF458" s="894"/>
      <c r="AG458" s="894"/>
      <c r="AH458" s="894"/>
      <c r="AI458" s="894"/>
      <c r="AJ458" s="894"/>
      <c r="AK458" s="894"/>
      <c r="AL458" s="894"/>
      <c r="AM458" s="894"/>
      <c r="AN458" s="894"/>
      <c r="AO458" s="894"/>
      <c r="AP458" s="894"/>
      <c r="AQ458" s="894"/>
    </row>
    <row r="459" spans="4:43" ht="33.75" customHeight="1" outlineLevel="1">
      <c r="D459" s="1">
        <v>45</v>
      </c>
      <c r="AB459" s="894" t="s">
        <v>1530</v>
      </c>
      <c r="AC459" s="894"/>
      <c r="AD459" s="894"/>
      <c r="AE459" s="894"/>
      <c r="AF459" s="894"/>
      <c r="AG459" s="894"/>
      <c r="AH459" s="894"/>
      <c r="AI459" s="894"/>
      <c r="AJ459" s="894"/>
      <c r="AK459" s="894"/>
      <c r="AL459" s="894"/>
      <c r="AM459" s="894"/>
      <c r="AN459" s="894"/>
      <c r="AO459" s="894"/>
      <c r="AP459" s="894"/>
      <c r="AQ459" s="894"/>
    </row>
    <row r="460" spans="4:43" ht="33.75" customHeight="1" outlineLevel="1">
      <c r="D460" s="1">
        <v>45</v>
      </c>
      <c r="AB460" s="894"/>
      <c r="AC460" s="894"/>
      <c r="AD460" s="894"/>
      <c r="AE460" s="894"/>
      <c r="AF460" s="894"/>
      <c r="AG460" s="894"/>
      <c r="AH460" s="894"/>
      <c r="AI460" s="894"/>
      <c r="AJ460" s="894"/>
      <c r="AK460" s="894"/>
      <c r="AL460" s="894"/>
      <c r="AM460" s="894"/>
      <c r="AN460" s="894"/>
      <c r="AO460" s="894"/>
      <c r="AP460" s="894"/>
      <c r="AQ460" s="894"/>
    </row>
    <row r="461" spans="4:43" ht="33.75" customHeight="1" outlineLevel="1">
      <c r="D461" s="1">
        <v>45</v>
      </c>
      <c r="AB461" s="894"/>
      <c r="AC461" s="894"/>
      <c r="AD461" s="894"/>
      <c r="AE461" s="894"/>
      <c r="AF461" s="894"/>
      <c r="AG461" s="894"/>
      <c r="AH461" s="894"/>
      <c r="AI461" s="894"/>
      <c r="AJ461" s="894"/>
      <c r="AK461" s="894"/>
      <c r="AL461" s="894"/>
      <c r="AM461" s="894"/>
      <c r="AN461" s="894"/>
      <c r="AO461" s="894"/>
      <c r="AP461" s="894"/>
      <c r="AQ461" s="894"/>
    </row>
    <row r="462" spans="4:43" ht="33.75" customHeight="1" outlineLevel="1">
      <c r="D462" s="1">
        <v>45</v>
      </c>
      <c r="AB462" s="894"/>
      <c r="AC462" s="894"/>
      <c r="AD462" s="894"/>
      <c r="AE462" s="894"/>
      <c r="AF462" s="894"/>
      <c r="AG462" s="894"/>
      <c r="AH462" s="894"/>
      <c r="AI462" s="894"/>
      <c r="AJ462" s="894"/>
      <c r="AK462" s="894"/>
      <c r="AL462" s="894"/>
      <c r="AM462" s="894"/>
      <c r="AN462" s="894"/>
      <c r="AO462" s="894"/>
      <c r="AP462" s="894"/>
      <c r="AQ462" s="894"/>
    </row>
    <row r="463" spans="4:43" ht="33.75" customHeight="1" outlineLevel="1">
      <c r="D463" s="1">
        <v>45</v>
      </c>
      <c r="AB463" s="894" t="e">
        <f>"Экспертами принято решение признать экономически обоснованными расходы на "&amp;PRD&amp;" год в размере "&amp;ROUND(#REF!,2)&amp;" тыс. руб."</f>
        <v>#REF!</v>
      </c>
      <c r="AC463" s="894"/>
      <c r="AD463" s="894"/>
      <c r="AE463" s="894"/>
      <c r="AF463" s="894"/>
      <c r="AG463" s="894"/>
      <c r="AH463" s="894"/>
      <c r="AI463" s="894"/>
      <c r="AJ463" s="894"/>
      <c r="AK463" s="894"/>
      <c r="AL463" s="894"/>
      <c r="AM463" s="894"/>
      <c r="AN463" s="894"/>
      <c r="AO463" s="894"/>
      <c r="AP463" s="894"/>
      <c r="AQ463" s="894"/>
    </row>
    <row r="464" spans="4:43" ht="33.75" customHeight="1" outlineLevel="1">
      <c r="D464" s="1">
        <v>45</v>
      </c>
      <c r="AB464" s="894"/>
      <c r="AC464" s="894"/>
      <c r="AD464" s="894"/>
      <c r="AE464" s="894"/>
      <c r="AF464" s="894"/>
      <c r="AG464" s="894"/>
      <c r="AH464" s="894"/>
      <c r="AI464" s="894"/>
      <c r="AJ464" s="894"/>
      <c r="AK464" s="894"/>
      <c r="AL464" s="894"/>
      <c r="AM464" s="894"/>
      <c r="AN464" s="894"/>
      <c r="AO464" s="894"/>
      <c r="AP464" s="894"/>
      <c r="AQ464" s="894"/>
    </row>
    <row r="465" spans="4:43" ht="33.75" customHeight="1" outlineLevel="1">
      <c r="D465" s="1">
        <v>45</v>
      </c>
      <c r="AB465" s="894"/>
      <c r="AC465" s="894"/>
      <c r="AD465" s="894"/>
      <c r="AE465" s="894"/>
      <c r="AF465" s="894"/>
      <c r="AG465" s="894"/>
      <c r="AH465" s="894"/>
      <c r="AI465" s="894"/>
      <c r="AJ465" s="894"/>
      <c r="AK465" s="894"/>
      <c r="AL465" s="894"/>
      <c r="AM465" s="894"/>
      <c r="AN465" s="894"/>
      <c r="AO465" s="894"/>
      <c r="AP465" s="894"/>
      <c r="AQ465" s="894"/>
    </row>
    <row r="466" spans="4:43" ht="33.75" customHeight="1">
      <c r="D466">
        <v>45</v>
      </c>
      <c r="AB466" s="890"/>
      <c r="AC466" s="890"/>
      <c r="AD466" s="890"/>
      <c r="AE466" s="890"/>
      <c r="AF466" s="890"/>
      <c r="AG466" s="890"/>
      <c r="AH466" s="890"/>
      <c r="AI466" s="890"/>
      <c r="AJ466" s="890"/>
      <c r="AK466" s="890"/>
      <c r="AL466" s="890"/>
      <c r="AM466" s="890"/>
      <c r="AN466" s="890"/>
      <c r="AO466" s="890"/>
      <c r="AP466" s="890"/>
      <c r="AQ466" s="890"/>
    </row>
    <row r="467" spans="4:43" ht="33.75" customHeight="1" outlineLevel="1">
      <c r="D467" s="1">
        <v>45</v>
      </c>
      <c r="AB467" s="898" t="s">
        <v>1483</v>
      </c>
      <c r="AC467" s="890"/>
      <c r="AD467" s="890"/>
      <c r="AE467" s="890"/>
      <c r="AF467" s="890"/>
      <c r="AG467" s="890"/>
      <c r="AH467" s="890"/>
      <c r="AI467" s="890"/>
      <c r="AJ467" s="890"/>
      <c r="AK467" s="890"/>
      <c r="AL467" s="890"/>
      <c r="AM467" s="890"/>
      <c r="AN467" s="890"/>
      <c r="AO467" s="890"/>
      <c r="AP467" s="890"/>
      <c r="AQ467" s="890"/>
    </row>
    <row r="468" spans="4:43" ht="33.75" customHeight="1" outlineLevel="1">
      <c r="D468" s="1">
        <v>45</v>
      </c>
      <c r="AB468" s="894" t="s">
        <v>1470</v>
      </c>
      <c r="AC468" s="894"/>
      <c r="AD468" s="894"/>
      <c r="AE468" s="894"/>
      <c r="AF468" s="894"/>
      <c r="AG468" s="894"/>
      <c r="AH468" s="894"/>
      <c r="AI468" s="894"/>
      <c r="AJ468" s="894"/>
      <c r="AK468" s="894"/>
      <c r="AL468" s="894"/>
      <c r="AM468" s="894"/>
      <c r="AN468" s="894"/>
      <c r="AO468" s="894"/>
      <c r="AP468" s="894"/>
      <c r="AQ468" s="894"/>
    </row>
    <row r="469" spans="4:43" ht="63.75" customHeight="1" outlineLevel="1">
      <c r="D469" s="1">
        <v>85</v>
      </c>
      <c r="AB469" s="894" t="s">
        <v>1650</v>
      </c>
      <c r="AC469" s="894"/>
      <c r="AD469" s="894"/>
      <c r="AE469" s="894"/>
      <c r="AF469" s="894"/>
      <c r="AG469" s="894"/>
      <c r="AH469" s="894"/>
      <c r="AI469" s="894"/>
      <c r="AJ469" s="894"/>
      <c r="AK469" s="894"/>
      <c r="AL469" s="894"/>
      <c r="AM469" s="894"/>
      <c r="AN469" s="894"/>
      <c r="AO469" s="894"/>
      <c r="AP469" s="894"/>
      <c r="AQ469" s="894"/>
    </row>
    <row r="470" spans="4:43" ht="33.75" customHeight="1" outlineLevel="1">
      <c r="D470" s="1">
        <v>45</v>
      </c>
      <c r="AB470" s="894" t="s">
        <v>1472</v>
      </c>
      <c r="AC470" s="894"/>
      <c r="AD470" s="894"/>
      <c r="AE470" s="894"/>
      <c r="AF470" s="894"/>
      <c r="AG470" s="894"/>
      <c r="AH470" s="894"/>
      <c r="AI470" s="894"/>
      <c r="AJ470" s="894"/>
      <c r="AK470" s="894"/>
      <c r="AL470" s="894"/>
      <c r="AM470" s="894"/>
      <c r="AN470" s="894"/>
      <c r="AO470" s="894"/>
      <c r="AP470" s="894"/>
      <c r="AQ470" s="894"/>
    </row>
    <row r="471" spans="4:43" ht="33.75" customHeight="1" outlineLevel="1">
      <c r="D471" s="1">
        <v>45</v>
      </c>
      <c r="AB471" s="894"/>
      <c r="AC471" s="894"/>
      <c r="AD471" s="894"/>
      <c r="AE471" s="894"/>
      <c r="AF471" s="894"/>
      <c r="AG471" s="894"/>
      <c r="AH471" s="894"/>
      <c r="AI471" s="894"/>
      <c r="AJ471" s="894"/>
      <c r="AK471" s="894"/>
      <c r="AL471" s="894"/>
      <c r="AM471" s="894"/>
      <c r="AN471" s="894"/>
      <c r="AO471" s="894"/>
      <c r="AP471" s="894"/>
      <c r="AQ471" s="894"/>
    </row>
    <row r="472" spans="4:43" ht="33.75" customHeight="1" outlineLevel="1">
      <c r="D472" s="1">
        <v>45</v>
      </c>
      <c r="AB472" s="894" t="s">
        <v>1532</v>
      </c>
      <c r="AC472" s="894"/>
      <c r="AD472" s="894"/>
      <c r="AE472" s="894"/>
      <c r="AF472" s="894"/>
      <c r="AG472" s="894"/>
      <c r="AH472" s="894"/>
      <c r="AI472" s="894"/>
      <c r="AJ472" s="894"/>
      <c r="AK472" s="894"/>
      <c r="AL472" s="894"/>
      <c r="AM472" s="894"/>
      <c r="AN472" s="894"/>
      <c r="AO472" s="894"/>
      <c r="AP472" s="894"/>
      <c r="AQ472" s="894"/>
    </row>
    <row r="473" spans="4:43" ht="33.75" customHeight="1" outlineLevel="1">
      <c r="D473" s="1">
        <v>45</v>
      </c>
      <c r="AB473" s="894" t="e">
        <f>$AG$27&amp;" планирует по статье «Теплоэнергия» на "&amp;PRD&amp;" год "&amp;ROUND(#REF!,2)&amp;" тыс.руб. Экономически обоснованные фактические расходы за "&amp;PRD-2&amp;" год составили."&amp;ROUND(#REF!,2)&amp;" тыс.руб."</f>
        <v>#REF!</v>
      </c>
      <c r="AC473" s="894"/>
      <c r="AD473" s="894"/>
      <c r="AE473" s="894"/>
      <c r="AF473" s="894"/>
      <c r="AG473" s="894"/>
      <c r="AH473" s="894"/>
      <c r="AI473" s="894"/>
      <c r="AJ473" s="894"/>
      <c r="AK473" s="894"/>
      <c r="AL473" s="894"/>
      <c r="AM473" s="894"/>
      <c r="AN473" s="894"/>
      <c r="AO473" s="894"/>
      <c r="AP473" s="894"/>
      <c r="AQ473" s="894"/>
    </row>
    <row r="474" spans="4:43" ht="33.75" customHeight="1" outlineLevel="1">
      <c r="D474" s="1">
        <v>45</v>
      </c>
      <c r="AB474" s="894" t="s">
        <v>1477</v>
      </c>
      <c r="AC474" s="894"/>
      <c r="AD474" s="894"/>
      <c r="AE474" s="894"/>
      <c r="AF474" s="894"/>
      <c r="AG474" s="894"/>
      <c r="AH474" s="894"/>
      <c r="AI474" s="894"/>
      <c r="AJ474" s="894"/>
      <c r="AK474" s="894"/>
      <c r="AL474" s="894"/>
      <c r="AM474" s="894"/>
      <c r="AN474" s="894"/>
      <c r="AO474" s="894"/>
      <c r="AP474" s="894"/>
      <c r="AQ474" s="894"/>
    </row>
    <row r="475" spans="4:43" ht="33.75" customHeight="1" outlineLevel="1">
      <c r="D475" s="1">
        <v>45</v>
      </c>
      <c r="AB475" s="894" t="e">
        <f>"Расходы по статье Теплоэнергия принимаются экспертами в размере "&amp;ROUND(#REF!,2)&amp;" тыс.руб."</f>
        <v>#REF!</v>
      </c>
      <c r="AC475" s="894"/>
      <c r="AD475" s="894"/>
      <c r="AE475" s="894"/>
      <c r="AF475" s="894"/>
      <c r="AG475" s="894"/>
      <c r="AH475" s="894"/>
      <c r="AI475" s="894"/>
      <c r="AJ475" s="894"/>
      <c r="AK475" s="894"/>
      <c r="AL475" s="894"/>
      <c r="AM475" s="894"/>
      <c r="AN475" s="894"/>
      <c r="AO475" s="894"/>
      <c r="AP475" s="894"/>
      <c r="AQ475" s="894"/>
    </row>
    <row r="476" spans="4:43" ht="33.75" customHeight="1" outlineLevel="1">
      <c r="D476" s="1">
        <v>45</v>
      </c>
      <c r="AB476" s="894"/>
      <c r="AC476" s="894"/>
      <c r="AD476" s="894"/>
      <c r="AE476" s="894"/>
      <c r="AF476" s="894"/>
      <c r="AG476" s="894"/>
      <c r="AH476" s="894"/>
      <c r="AI476" s="894"/>
      <c r="AJ476" s="894"/>
      <c r="AK476" s="894"/>
      <c r="AL476" s="894"/>
      <c r="AM476" s="894"/>
      <c r="AN476" s="894"/>
      <c r="AO476" s="894"/>
      <c r="AP476" s="894"/>
      <c r="AQ476" s="894"/>
    </row>
    <row r="477" spans="4:43" ht="28.5" hidden="1" customHeight="1">
      <c r="D477" s="1">
        <v>0</v>
      </c>
      <c r="AB477" s="890"/>
      <c r="AC477" s="890"/>
      <c r="AD477" s="890"/>
      <c r="AE477" s="890"/>
      <c r="AF477" s="890"/>
      <c r="AG477" s="890"/>
      <c r="AH477" s="890"/>
      <c r="AI477" s="890"/>
      <c r="AJ477" s="890"/>
      <c r="AK477" s="890"/>
      <c r="AL477" s="890"/>
      <c r="AM477" s="890"/>
      <c r="AN477" s="890"/>
      <c r="AO477" s="890"/>
      <c r="AP477" s="890"/>
      <c r="AQ477" s="890"/>
    </row>
    <row r="478" spans="4:43" ht="19.5" customHeight="1" outlineLevel="1">
      <c r="D478" s="1">
        <v>26</v>
      </c>
      <c r="AB478" s="898" t="s">
        <v>1533</v>
      </c>
      <c r="AC478" s="781"/>
      <c r="AD478" s="781"/>
      <c r="AE478" s="781"/>
      <c r="AF478" s="781"/>
      <c r="AG478" s="781"/>
      <c r="AH478" s="781"/>
      <c r="AI478" s="781"/>
      <c r="AJ478" s="781"/>
      <c r="AK478" s="781"/>
      <c r="AL478" s="781"/>
      <c r="AM478" s="781"/>
      <c r="AN478" s="781"/>
      <c r="AO478" s="781"/>
      <c r="AP478" s="781"/>
      <c r="AQ478" s="781"/>
    </row>
    <row r="479" spans="4:43" ht="33.75" customHeight="1" outlineLevel="1">
      <c r="D479" s="1">
        <v>45</v>
      </c>
      <c r="AB479" s="896" t="e">
        <f>"Утверждено на "&amp;PRD-2&amp;" год  "&amp;ROUND(#REF!,2)&amp;" тыс.руб. Планируемые предприятием расходы на "&amp;PRD&amp;" год "&amp;ROUND(#REF!,2)&amp;" тыс. руб. В соответствии с п.27 Основ ценообразования, расчёт амортизации основных фондов производится по нормам амортизационных отчислений, утверждённым в установленном порядке."</f>
        <v>#REF!</v>
      </c>
      <c r="AC479" s="896"/>
      <c r="AD479" s="896"/>
      <c r="AE479" s="896"/>
      <c r="AF479" s="896"/>
      <c r="AG479" s="896"/>
      <c r="AH479" s="896"/>
      <c r="AI479" s="896"/>
      <c r="AJ479" s="896"/>
      <c r="AK479" s="896"/>
      <c r="AL479" s="896"/>
      <c r="AM479" s="896"/>
      <c r="AN479" s="896"/>
      <c r="AO479" s="896"/>
      <c r="AP479" s="896"/>
      <c r="AQ479" s="896"/>
    </row>
    <row r="480" spans="4:43" ht="33.75" customHeight="1" outlineLevel="1">
      <c r="D480" s="1">
        <v>45</v>
      </c>
      <c r="AB480" s="896" t="str">
        <f>"Для обоснования расходов "&amp;AG27&amp;" представлены копии инвентарных карточек учёта основных средств форма ОС-6, оборотно-сальдовые ведомости по сч.01, сч.02, ведомость амортизации ОС за"&amp;PRD-2&amp;" год, приказы на ввод в эксплуатацию основных средств. "</f>
        <v xml:space="preserve">Для обоснования расходов МУП "Горэлектросети" представлены копии инвентарных карточек учёта основных средств форма ОС-6, оборотно-сальдовые ведомости по сч.01, сч.02, ведомость амортизации ОС за2024 год, приказы на ввод в эксплуатацию основных средств. </v>
      </c>
      <c r="AC480" s="896"/>
      <c r="AD480" s="896"/>
      <c r="AE480" s="896"/>
      <c r="AF480" s="896"/>
      <c r="AG480" s="896"/>
      <c r="AH480" s="896"/>
      <c r="AI480" s="896"/>
      <c r="AJ480" s="896"/>
      <c r="AK480" s="896"/>
      <c r="AL480" s="896"/>
      <c r="AM480" s="896"/>
      <c r="AN480" s="896"/>
      <c r="AO480" s="896"/>
      <c r="AP480" s="896"/>
      <c r="AQ480" s="896"/>
    </row>
    <row r="481" spans="4:43" ht="84" customHeight="1" outlineLevel="1">
      <c r="D481" s="1">
        <v>112</v>
      </c>
      <c r="AB481" s="896" t="s">
        <v>1534</v>
      </c>
      <c r="AC481" s="896"/>
      <c r="AD481" s="896"/>
      <c r="AE481" s="896"/>
      <c r="AF481" s="896"/>
      <c r="AG481" s="896"/>
      <c r="AH481" s="896"/>
      <c r="AI481" s="896"/>
      <c r="AJ481" s="896"/>
      <c r="AK481" s="896"/>
      <c r="AL481" s="896"/>
      <c r="AM481" s="896"/>
      <c r="AN481" s="896"/>
      <c r="AO481" s="896"/>
      <c r="AP481" s="896"/>
      <c r="AQ481" s="896"/>
    </row>
    <row r="482" spans="4:43" ht="27" customHeight="1" outlineLevel="1">
      <c r="D482" s="1">
        <v>36</v>
      </c>
      <c r="AB482" s="896" t="str">
        <f>"Пообъектный расчет амортизации на "&amp;PRD&amp;" год в формате шаблона ENERGY.CALC.NVV.TSO в веб-расширении Амортизация  (Приложение №7 и в приложении к заключению) "</f>
        <v xml:space="preserve">Пообъектный расчет амортизации на 2026 год в формате шаблона ENERGY.CALC.NVV.TSO в веб-расширении Амортизация  (Приложение №7 и в приложении к заключению) </v>
      </c>
      <c r="AC482" s="896"/>
      <c r="AD482" s="896"/>
      <c r="AE482" s="896"/>
      <c r="AF482" s="896"/>
      <c r="AG482" s="896"/>
      <c r="AH482" s="896"/>
      <c r="AI482" s="896"/>
      <c r="AJ482" s="896"/>
      <c r="AK482" s="896"/>
      <c r="AL482" s="896"/>
      <c r="AM482" s="896"/>
      <c r="AN482" s="896"/>
      <c r="AO482" s="896"/>
      <c r="AP482" s="896"/>
      <c r="AQ482" s="896"/>
    </row>
    <row r="483" spans="4:43" ht="33.75" customHeight="1" outlineLevel="1">
      <c r="D483" s="1">
        <v>45</v>
      </c>
      <c r="AB483" s="894"/>
      <c r="AC483" s="894"/>
      <c r="AD483" s="894"/>
      <c r="AE483" s="894"/>
      <c r="AF483" s="894"/>
      <c r="AG483" s="894"/>
      <c r="AH483" s="894"/>
      <c r="AI483" s="894"/>
      <c r="AJ483" s="894"/>
      <c r="AK483" s="894"/>
      <c r="AL483" s="894"/>
      <c r="AM483" s="894"/>
      <c r="AN483" s="894"/>
      <c r="AO483" s="894"/>
      <c r="AP483" s="894"/>
      <c r="AQ483" s="894"/>
    </row>
    <row r="484" spans="4:43" ht="33.75" customHeight="1" outlineLevel="1">
      <c r="D484" s="1">
        <v>45</v>
      </c>
      <c r="AB484" s="894"/>
      <c r="AC484" s="894"/>
      <c r="AD484" s="894"/>
      <c r="AE484" s="894"/>
      <c r="AF484" s="894"/>
      <c r="AG484" s="894"/>
      <c r="AH484" s="894"/>
      <c r="AI484" s="894"/>
      <c r="AJ484" s="894"/>
      <c r="AK484" s="894"/>
      <c r="AL484" s="894"/>
      <c r="AM484" s="894"/>
      <c r="AN484" s="894"/>
      <c r="AO484" s="894"/>
      <c r="AP484" s="894"/>
      <c r="AQ484" s="894"/>
    </row>
    <row r="485" spans="4:43" ht="33.75" customHeight="1" outlineLevel="1">
      <c r="D485" s="1">
        <v>45</v>
      </c>
      <c r="AB485" s="894"/>
      <c r="AC485" s="894"/>
      <c r="AD485" s="894"/>
      <c r="AE485" s="894"/>
      <c r="AF485" s="894"/>
      <c r="AG485" s="894"/>
      <c r="AH485" s="894"/>
      <c r="AI485" s="894"/>
      <c r="AJ485" s="894"/>
      <c r="AK485" s="894"/>
      <c r="AL485" s="894"/>
      <c r="AM485" s="894"/>
      <c r="AN485" s="894"/>
      <c r="AO485" s="894"/>
      <c r="AP485" s="894"/>
      <c r="AQ485" s="894"/>
    </row>
    <row r="486" spans="4:43" ht="33.75" customHeight="1" outlineLevel="1">
      <c r="D486" s="1">
        <v>45</v>
      </c>
      <c r="AB486" s="894"/>
      <c r="AC486" s="894"/>
      <c r="AD486" s="894"/>
      <c r="AE486" s="894"/>
      <c r="AF486" s="894"/>
      <c r="AG486" s="894"/>
      <c r="AH486" s="894"/>
      <c r="AI486" s="894"/>
      <c r="AJ486" s="894"/>
      <c r="AK486" s="894"/>
      <c r="AL486" s="894"/>
      <c r="AM486" s="894"/>
      <c r="AN486" s="894"/>
      <c r="AO486" s="894"/>
      <c r="AP486" s="894"/>
      <c r="AQ486" s="894"/>
    </row>
    <row r="487" spans="4:43" ht="33.75" customHeight="1" outlineLevel="1">
      <c r="D487" s="1">
        <v>45</v>
      </c>
      <c r="AB487" s="896" t="e">
        <f>"Проанализировав представленные для обоснования данной статьи документы, эксперты предлагают считать экономически обоснованной сумму затрат в размере "&amp;ROUND(#REF!,2)&amp;" тыс. руб. "</f>
        <v>#REF!</v>
      </c>
      <c r="AC487" s="896"/>
      <c r="AD487" s="896"/>
      <c r="AE487" s="896"/>
      <c r="AF487" s="896"/>
      <c r="AG487" s="896"/>
      <c r="AH487" s="896"/>
      <c r="AI487" s="896"/>
      <c r="AJ487" s="896"/>
      <c r="AK487" s="896"/>
      <c r="AL487" s="896"/>
      <c r="AM487" s="896"/>
      <c r="AN487" s="896"/>
      <c r="AO487" s="896"/>
      <c r="AP487" s="896"/>
      <c r="AQ487" s="896"/>
    </row>
    <row r="488" spans="4:43" ht="54" customHeight="1" outlineLevel="1">
      <c r="D488" s="1">
        <v>72</v>
      </c>
      <c r="AB488" s="896" t="e">
        <f>"Принимая во внимание вышеизложенные факторы, предложено считать экономически обоснованными неподконтрольные затраты на "&amp;PRD&amp;" год в размере "&amp;ROUND(#REF!,2)&amp;" тыс. руб., "&amp;(IF(#REF!=#REF!,"по предложению организации ",IF(#REF!&lt;#REF!,"что ниже предложенных предприятием на ","что выше предложенных предприятием на "))&amp;ROUND(#REF!-#REF!,2)&amp;" тыс. руб. ("&amp;IF(#REF!=0,0,ROUND(#REF!/#REF!*100,2))&amp;"%). Рост к утверждённым затратам на "&amp;PRD-1&amp;" год составил "&amp;IF(#REF!=0,0,ROUND(#REF!/#REF!,2))&amp;"%. Экономически обоснованными за "&amp;PRD-2&amp;" года экспертами признаются расходы в размере "&amp;ROUND(#REF!,2)&amp;" тыс. руб.")</f>
        <v>#REF!</v>
      </c>
      <c r="AC488" s="896"/>
      <c r="AD488" s="896"/>
      <c r="AE488" s="896"/>
      <c r="AF488" s="896"/>
      <c r="AG488" s="896"/>
      <c r="AH488" s="896"/>
      <c r="AI488" s="896"/>
      <c r="AJ488" s="896"/>
      <c r="AK488" s="896"/>
      <c r="AL488" s="896"/>
      <c r="AM488" s="896"/>
      <c r="AN488" s="896"/>
      <c r="AO488" s="896"/>
      <c r="AP488" s="896"/>
      <c r="AQ488" s="896"/>
    </row>
    <row r="489" spans="4:43" ht="33.75" customHeight="1">
      <c r="D489" s="1">
        <v>45</v>
      </c>
    </row>
    <row r="490" spans="4:43" ht="33.75" customHeight="1" outlineLevel="1">
      <c r="D490" s="1">
        <v>45</v>
      </c>
      <c r="AB490" s="898" t="s">
        <v>1535</v>
      </c>
      <c r="AC490" s="890"/>
      <c r="AD490" s="890"/>
      <c r="AE490" s="890"/>
      <c r="AF490" s="890"/>
      <c r="AG490" s="890"/>
      <c r="AH490" s="890"/>
      <c r="AI490" s="890"/>
      <c r="AJ490" s="890"/>
      <c r="AK490" s="890"/>
      <c r="AL490" s="890"/>
      <c r="AM490" s="890"/>
      <c r="AN490" s="890"/>
      <c r="AO490" s="890"/>
      <c r="AP490" s="890"/>
      <c r="AQ490" s="890"/>
    </row>
    <row r="491" spans="4:43" ht="33.75" customHeight="1" outlineLevel="1">
      <c r="D491" s="1">
        <v>45</v>
      </c>
      <c r="AB49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491" s="894"/>
      <c r="AD491" s="894"/>
      <c r="AE491" s="894"/>
      <c r="AF491" s="894"/>
      <c r="AG491" s="894"/>
      <c r="AH491" s="894"/>
      <c r="AI491" s="894"/>
      <c r="AJ491" s="894"/>
      <c r="AK491" s="894"/>
      <c r="AL491" s="894"/>
      <c r="AM491" s="894"/>
      <c r="AN491" s="894"/>
      <c r="AO491" s="894"/>
      <c r="AP491" s="894"/>
      <c r="AQ491" s="894"/>
    </row>
    <row r="492" spans="4:43" ht="33.75" customHeight="1" outlineLevel="1">
      <c r="D492" s="1">
        <v>45</v>
      </c>
      <c r="AB492" s="894" t="s">
        <v>1530</v>
      </c>
      <c r="AC492" s="894"/>
      <c r="AD492" s="894"/>
      <c r="AE492" s="894"/>
      <c r="AF492" s="894"/>
      <c r="AG492" s="894"/>
      <c r="AH492" s="894"/>
      <c r="AI492" s="894"/>
      <c r="AJ492" s="894"/>
      <c r="AK492" s="894"/>
      <c r="AL492" s="894"/>
      <c r="AM492" s="894"/>
      <c r="AN492" s="894"/>
      <c r="AO492" s="894"/>
      <c r="AP492" s="894"/>
      <c r="AQ492" s="894"/>
    </row>
    <row r="493" spans="4:43" ht="33.75" customHeight="1" outlineLevel="1">
      <c r="D493" s="1">
        <v>45</v>
      </c>
      <c r="AB493" s="894"/>
      <c r="AC493" s="894"/>
      <c r="AD493" s="894"/>
      <c r="AE493" s="894"/>
      <c r="AF493" s="894"/>
      <c r="AG493" s="894"/>
      <c r="AH493" s="894"/>
      <c r="AI493" s="894"/>
      <c r="AJ493" s="894"/>
      <c r="AK493" s="894"/>
      <c r="AL493" s="894"/>
      <c r="AM493" s="894"/>
      <c r="AN493" s="894"/>
      <c r="AO493" s="894"/>
      <c r="AP493" s="894"/>
      <c r="AQ493" s="894"/>
    </row>
    <row r="494" spans="4:43" ht="33.75" customHeight="1" outlineLevel="1">
      <c r="D494" s="1">
        <v>45</v>
      </c>
      <c r="AB494" s="894"/>
      <c r="AC494" s="894"/>
      <c r="AD494" s="894"/>
      <c r="AE494" s="894"/>
      <c r="AF494" s="894"/>
      <c r="AG494" s="894"/>
      <c r="AH494" s="894"/>
      <c r="AI494" s="894"/>
      <c r="AJ494" s="894"/>
      <c r="AK494" s="894"/>
      <c r="AL494" s="894"/>
      <c r="AM494" s="894"/>
      <c r="AN494" s="894"/>
      <c r="AO494" s="894"/>
      <c r="AP494" s="894"/>
      <c r="AQ494" s="894"/>
    </row>
    <row r="495" spans="4:43" ht="33.75" customHeight="1" outlineLevel="1">
      <c r="D495" s="1">
        <v>45</v>
      </c>
      <c r="AB495" s="894"/>
      <c r="AC495" s="894"/>
      <c r="AD495" s="894"/>
      <c r="AE495" s="894"/>
      <c r="AF495" s="894"/>
      <c r="AG495" s="894"/>
      <c r="AH495" s="894"/>
      <c r="AI495" s="894"/>
      <c r="AJ495" s="894"/>
      <c r="AK495" s="894"/>
      <c r="AL495" s="894"/>
      <c r="AM495" s="894"/>
      <c r="AN495" s="894"/>
      <c r="AO495" s="894"/>
      <c r="AP495" s="894"/>
      <c r="AQ495" s="894"/>
    </row>
    <row r="496" spans="4:43" ht="33.75" customHeight="1" outlineLevel="1">
      <c r="D496" s="1">
        <v>45</v>
      </c>
      <c r="AB496" s="894" t="e">
        <f>"Экспертами принято решение признать экономически обоснованными расходы на "&amp;PRD&amp;" год в размере "&amp;ROUND(#REF!,2)&amp;" тыс. руб."</f>
        <v>#REF!</v>
      </c>
      <c r="AC496" s="894"/>
      <c r="AD496" s="894"/>
      <c r="AE496" s="894"/>
      <c r="AF496" s="894"/>
      <c r="AG496" s="894"/>
      <c r="AH496" s="894"/>
      <c r="AI496" s="894"/>
      <c r="AJ496" s="894"/>
      <c r="AK496" s="894"/>
      <c r="AL496" s="894"/>
      <c r="AM496" s="894"/>
      <c r="AN496" s="894"/>
      <c r="AO496" s="894"/>
      <c r="AP496" s="894"/>
      <c r="AQ496" s="894"/>
    </row>
    <row r="497" spans="4:43" ht="33.75" customHeight="1" outlineLevel="1">
      <c r="D497" s="1">
        <v>45</v>
      </c>
      <c r="AB497" s="894"/>
      <c r="AC497" s="894"/>
      <c r="AD497" s="894"/>
      <c r="AE497" s="894"/>
      <c r="AF497" s="894"/>
      <c r="AG497" s="894"/>
      <c r="AH497" s="894"/>
      <c r="AI497" s="894"/>
      <c r="AJ497" s="894"/>
      <c r="AK497" s="894"/>
      <c r="AL497" s="894"/>
      <c r="AM497" s="894"/>
      <c r="AN497" s="894"/>
      <c r="AO497" s="894"/>
      <c r="AP497" s="894"/>
      <c r="AQ497" s="894"/>
    </row>
    <row r="498" spans="4:43" ht="33.75" customHeight="1" outlineLevel="1">
      <c r="D498" s="1">
        <v>45</v>
      </c>
      <c r="AB498" s="894"/>
      <c r="AC498" s="894"/>
      <c r="AD498" s="894"/>
      <c r="AE498" s="894"/>
      <c r="AF498" s="894"/>
      <c r="AG498" s="894"/>
      <c r="AH498" s="894"/>
      <c r="AI498" s="894"/>
      <c r="AJ498" s="894"/>
      <c r="AK498" s="894"/>
      <c r="AL498" s="894"/>
      <c r="AM498" s="894"/>
      <c r="AN498" s="894"/>
      <c r="AO498" s="894"/>
      <c r="AP498" s="894"/>
      <c r="AQ498" s="894"/>
    </row>
    <row r="499" spans="4:43" ht="28.5" hidden="1" customHeight="1">
      <c r="D499" s="1">
        <v>0</v>
      </c>
      <c r="AB499" s="890"/>
      <c r="AC499" s="890"/>
      <c r="AD499" s="890"/>
      <c r="AE499" s="890"/>
      <c r="AF499" s="890"/>
      <c r="AG499" s="890"/>
      <c r="AH499" s="890"/>
      <c r="AI499" s="890"/>
      <c r="AJ499" s="890"/>
      <c r="AK499" s="890"/>
      <c r="AL499" s="890"/>
      <c r="AM499" s="890"/>
      <c r="AN499" s="890"/>
      <c r="AO499" s="890"/>
      <c r="AP499" s="890"/>
      <c r="AQ499" s="890"/>
    </row>
    <row r="500" spans="4:43" ht="33.75" customHeight="1" outlineLevel="1">
      <c r="D500" s="1">
        <v>45</v>
      </c>
      <c r="AB500" s="898" t="s">
        <v>1536</v>
      </c>
      <c r="AC500" s="890"/>
      <c r="AD500" s="890"/>
      <c r="AE500" s="890"/>
      <c r="AF500" s="890"/>
      <c r="AG500" s="890"/>
      <c r="AH500" s="890"/>
      <c r="AI500" s="890"/>
      <c r="AJ500" s="890"/>
      <c r="AK500" s="890"/>
      <c r="AL500" s="890"/>
      <c r="AM500" s="890"/>
      <c r="AN500" s="890"/>
      <c r="AO500" s="890"/>
      <c r="AP500" s="890"/>
      <c r="AQ500" s="890"/>
    </row>
    <row r="501" spans="4:43" ht="33.75" customHeight="1" outlineLevel="1">
      <c r="D501" s="1">
        <v>45</v>
      </c>
      <c r="AB50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501" s="894"/>
      <c r="AD501" s="894"/>
      <c r="AE501" s="894"/>
      <c r="AF501" s="894"/>
      <c r="AG501" s="894"/>
      <c r="AH501" s="894"/>
      <c r="AI501" s="894"/>
      <c r="AJ501" s="894"/>
      <c r="AK501" s="894"/>
      <c r="AL501" s="894"/>
      <c r="AM501" s="894"/>
      <c r="AN501" s="894"/>
      <c r="AO501" s="894"/>
      <c r="AP501" s="894"/>
      <c r="AQ501" s="894"/>
    </row>
    <row r="502" spans="4:43" ht="33.75" customHeight="1" outlineLevel="1">
      <c r="D502" s="1">
        <v>45</v>
      </c>
      <c r="AB502" s="894" t="s">
        <v>1530</v>
      </c>
      <c r="AC502" s="894"/>
      <c r="AD502" s="894"/>
      <c r="AE502" s="894"/>
      <c r="AF502" s="894"/>
      <c r="AG502" s="894"/>
      <c r="AH502" s="894"/>
      <c r="AI502" s="894"/>
      <c r="AJ502" s="894"/>
      <c r="AK502" s="894"/>
      <c r="AL502" s="894"/>
      <c r="AM502" s="894"/>
      <c r="AN502" s="894"/>
      <c r="AO502" s="894"/>
      <c r="AP502" s="894"/>
      <c r="AQ502" s="894"/>
    </row>
    <row r="503" spans="4:43" ht="33.75" customHeight="1" outlineLevel="1">
      <c r="D503" s="1">
        <v>45</v>
      </c>
      <c r="AB503" s="894"/>
      <c r="AC503" s="894"/>
      <c r="AD503" s="894"/>
      <c r="AE503" s="894"/>
      <c r="AF503" s="894"/>
      <c r="AG503" s="894"/>
      <c r="AH503" s="894"/>
      <c r="AI503" s="894"/>
      <c r="AJ503" s="894"/>
      <c r="AK503" s="894"/>
      <c r="AL503" s="894"/>
      <c r="AM503" s="894"/>
      <c r="AN503" s="894"/>
      <c r="AO503" s="894"/>
      <c r="AP503" s="894"/>
      <c r="AQ503" s="894"/>
    </row>
    <row r="504" spans="4:43" ht="33.75" customHeight="1" outlineLevel="1">
      <c r="D504" s="1">
        <v>45</v>
      </c>
      <c r="AB504" s="894"/>
      <c r="AC504" s="894"/>
      <c r="AD504" s="894"/>
      <c r="AE504" s="894"/>
      <c r="AF504" s="894"/>
      <c r="AG504" s="894"/>
      <c r="AH504" s="894"/>
      <c r="AI504" s="894"/>
      <c r="AJ504" s="894"/>
      <c r="AK504" s="894"/>
      <c r="AL504" s="894"/>
      <c r="AM504" s="894"/>
      <c r="AN504" s="894"/>
      <c r="AO504" s="894"/>
      <c r="AP504" s="894"/>
      <c r="AQ504" s="894"/>
    </row>
    <row r="505" spans="4:43" ht="33.75" customHeight="1" outlineLevel="1">
      <c r="D505" s="1">
        <v>45</v>
      </c>
      <c r="AB505" s="894"/>
      <c r="AC505" s="894"/>
      <c r="AD505" s="894"/>
      <c r="AE505" s="894"/>
      <c r="AF505" s="894"/>
      <c r="AG505" s="894"/>
      <c r="AH505" s="894"/>
      <c r="AI505" s="894"/>
      <c r="AJ505" s="894"/>
      <c r="AK505" s="894"/>
      <c r="AL505" s="894"/>
      <c r="AM505" s="894"/>
      <c r="AN505" s="894"/>
      <c r="AO505" s="894"/>
      <c r="AP505" s="894"/>
      <c r="AQ505" s="894"/>
    </row>
    <row r="506" spans="4:43" ht="33.75" customHeight="1" outlineLevel="1">
      <c r="D506" s="1">
        <v>45</v>
      </c>
      <c r="AB506" s="894" t="e">
        <f>"Экспертами принято решение признать экономически обоснованными расходы на "&amp;PRD&amp;" год в размере "&amp;ROUND(#REF!,2)&amp;" тыс. руб."</f>
        <v>#REF!</v>
      </c>
      <c r="AC506" s="894"/>
      <c r="AD506" s="894"/>
      <c r="AE506" s="894"/>
      <c r="AF506" s="894"/>
      <c r="AG506" s="894"/>
      <c r="AH506" s="894"/>
      <c r="AI506" s="894"/>
      <c r="AJ506" s="894"/>
      <c r="AK506" s="894"/>
      <c r="AL506" s="894"/>
      <c r="AM506" s="894"/>
      <c r="AN506" s="894"/>
      <c r="AO506" s="894"/>
      <c r="AP506" s="894"/>
      <c r="AQ506" s="894"/>
    </row>
    <row r="507" spans="4:43" ht="33.75" customHeight="1" outlineLevel="1">
      <c r="D507" s="1">
        <v>45</v>
      </c>
      <c r="AB507" s="894"/>
      <c r="AC507" s="894"/>
      <c r="AD507" s="894"/>
      <c r="AE507" s="894"/>
      <c r="AF507" s="894"/>
      <c r="AG507" s="894"/>
      <c r="AH507" s="894"/>
      <c r="AI507" s="894"/>
      <c r="AJ507" s="894"/>
      <c r="AK507" s="894"/>
      <c r="AL507" s="894"/>
      <c r="AM507" s="894"/>
      <c r="AN507" s="894"/>
      <c r="AO507" s="894"/>
      <c r="AP507" s="894"/>
      <c r="AQ507" s="894"/>
    </row>
    <row r="508" spans="4:43" ht="33.75" customHeight="1" outlineLevel="1">
      <c r="D508" s="1">
        <v>45</v>
      </c>
      <c r="AB508" s="894"/>
      <c r="AC508" s="894"/>
      <c r="AD508" s="894"/>
      <c r="AE508" s="894"/>
      <c r="AF508" s="894"/>
      <c r="AG508" s="894"/>
      <c r="AH508" s="894"/>
      <c r="AI508" s="894"/>
      <c r="AJ508" s="894"/>
      <c r="AK508" s="894"/>
      <c r="AL508" s="894"/>
      <c r="AM508" s="894"/>
      <c r="AN508" s="894"/>
      <c r="AO508" s="894"/>
      <c r="AP508" s="894"/>
      <c r="AQ508" s="894"/>
    </row>
    <row r="509" spans="4:43" ht="28.5" hidden="1" customHeight="1">
      <c r="D509" s="1">
        <v>0</v>
      </c>
      <c r="AB509" s="890"/>
      <c r="AC509" s="890"/>
      <c r="AD509" s="890"/>
      <c r="AE509" s="890"/>
      <c r="AF509" s="890"/>
      <c r="AG509" s="890"/>
      <c r="AH509" s="890"/>
      <c r="AI509" s="890"/>
      <c r="AJ509" s="890"/>
      <c r="AK509" s="890"/>
      <c r="AL509" s="890"/>
      <c r="AM509" s="890"/>
      <c r="AN509" s="890"/>
      <c r="AO509" s="890"/>
      <c r="AP509" s="890"/>
      <c r="AQ509" s="890"/>
    </row>
    <row r="510" spans="4:43" ht="33.75" customHeight="1" outlineLevel="1">
      <c r="D510" s="1">
        <v>45</v>
      </c>
      <c r="AB510" s="898" t="s">
        <v>1537</v>
      </c>
      <c r="AC510" s="890"/>
      <c r="AD510" s="890"/>
      <c r="AE510" s="890"/>
      <c r="AF510" s="890"/>
      <c r="AG510" s="890"/>
      <c r="AH510" s="890"/>
      <c r="AI510" s="890"/>
      <c r="AJ510" s="890"/>
      <c r="AK510" s="890"/>
      <c r="AL510" s="890"/>
      <c r="AM510" s="890"/>
      <c r="AN510" s="890"/>
      <c r="AO510" s="890"/>
      <c r="AP510" s="890"/>
      <c r="AQ510" s="890"/>
    </row>
    <row r="511" spans="4:43" ht="33.75" customHeight="1" outlineLevel="1">
      <c r="D511" s="1">
        <v>45</v>
      </c>
      <c r="AB51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511" s="894"/>
      <c r="AD511" s="894"/>
      <c r="AE511" s="894"/>
      <c r="AF511" s="894"/>
      <c r="AG511" s="894"/>
      <c r="AH511" s="894"/>
      <c r="AI511" s="894"/>
      <c r="AJ511" s="894"/>
      <c r="AK511" s="894"/>
      <c r="AL511" s="894"/>
      <c r="AM511" s="894"/>
      <c r="AN511" s="894"/>
      <c r="AO511" s="894"/>
      <c r="AP511" s="894"/>
      <c r="AQ511" s="894"/>
    </row>
    <row r="512" spans="4:43" ht="33.75" customHeight="1" outlineLevel="1">
      <c r="D512" s="1">
        <v>45</v>
      </c>
      <c r="AB512" s="894" t="s">
        <v>1538</v>
      </c>
      <c r="AC512" s="894"/>
      <c r="AD512" s="894"/>
      <c r="AE512" s="894"/>
      <c r="AF512" s="894"/>
      <c r="AG512" s="894"/>
      <c r="AH512" s="894"/>
      <c r="AI512" s="894"/>
      <c r="AJ512" s="894"/>
      <c r="AK512" s="894"/>
      <c r="AL512" s="894"/>
      <c r="AM512" s="894"/>
      <c r="AN512" s="894"/>
      <c r="AO512" s="894"/>
      <c r="AP512" s="894"/>
      <c r="AQ512" s="894"/>
    </row>
    <row r="513" spans="4:43" ht="33.75" customHeight="1" outlineLevel="1">
      <c r="D513" s="1">
        <v>45</v>
      </c>
      <c r="AB513" s="894"/>
      <c r="AC513" s="894"/>
      <c r="AD513" s="894"/>
      <c r="AE513" s="894"/>
      <c r="AF513" s="894"/>
      <c r="AG513" s="894"/>
      <c r="AH513" s="894"/>
      <c r="AI513" s="894"/>
      <c r="AJ513" s="894"/>
      <c r="AK513" s="894"/>
      <c r="AL513" s="894"/>
      <c r="AM513" s="894"/>
      <c r="AN513" s="894"/>
      <c r="AO513" s="894"/>
      <c r="AP513" s="894"/>
      <c r="AQ513" s="894"/>
    </row>
    <row r="514" spans="4:43" ht="33.75" customHeight="1" outlineLevel="1">
      <c r="D514" s="1">
        <v>45</v>
      </c>
      <c r="AB514" s="894"/>
      <c r="AC514" s="894"/>
      <c r="AD514" s="894"/>
      <c r="AE514" s="894"/>
      <c r="AF514" s="894"/>
      <c r="AG514" s="894"/>
      <c r="AH514" s="894"/>
      <c r="AI514" s="894"/>
      <c r="AJ514" s="894"/>
      <c r="AK514" s="894"/>
      <c r="AL514" s="894"/>
      <c r="AM514" s="894"/>
      <c r="AN514" s="894"/>
      <c r="AO514" s="894"/>
      <c r="AP514" s="894"/>
      <c r="AQ514" s="894"/>
    </row>
    <row r="515" spans="4:43" ht="33.75" customHeight="1" outlineLevel="1">
      <c r="D515" s="1">
        <v>45</v>
      </c>
      <c r="AB515" s="894"/>
      <c r="AC515" s="894"/>
      <c r="AD515" s="894"/>
      <c r="AE515" s="894"/>
      <c r="AF515" s="894"/>
      <c r="AG515" s="894"/>
      <c r="AH515" s="894"/>
      <c r="AI515" s="894"/>
      <c r="AJ515" s="894"/>
      <c r="AK515" s="894"/>
      <c r="AL515" s="894"/>
      <c r="AM515" s="894"/>
      <c r="AN515" s="894"/>
      <c r="AO515" s="894"/>
      <c r="AP515" s="894"/>
      <c r="AQ515" s="894"/>
    </row>
    <row r="516" spans="4:43" ht="33.75" customHeight="1" outlineLevel="1">
      <c r="D516" s="1">
        <v>45</v>
      </c>
      <c r="AB516" s="894" t="e">
        <f>"Экспертами принято решение признать экономически обоснованными расходы на "&amp;PRD&amp;" год в размере "&amp;ROUND(#REF!,2)&amp;" тыс. руб."</f>
        <v>#REF!</v>
      </c>
      <c r="AC516" s="894"/>
      <c r="AD516" s="894"/>
      <c r="AE516" s="894"/>
      <c r="AF516" s="894"/>
      <c r="AG516" s="894"/>
      <c r="AH516" s="894"/>
      <c r="AI516" s="894"/>
      <c r="AJ516" s="894"/>
      <c r="AK516" s="894"/>
      <c r="AL516" s="894"/>
      <c r="AM516" s="894"/>
      <c r="AN516" s="894"/>
      <c r="AO516" s="894"/>
      <c r="AP516" s="894"/>
      <c r="AQ516" s="894"/>
    </row>
    <row r="517" spans="4:43" ht="33.75" customHeight="1" outlineLevel="1">
      <c r="D517" s="1">
        <v>45</v>
      </c>
      <c r="AB517" s="894"/>
      <c r="AC517" s="894"/>
      <c r="AD517" s="894"/>
      <c r="AE517" s="894"/>
      <c r="AF517" s="894"/>
      <c r="AG517" s="894"/>
      <c r="AH517" s="894"/>
      <c r="AI517" s="894"/>
      <c r="AJ517" s="894"/>
      <c r="AK517" s="894"/>
      <c r="AL517" s="894"/>
      <c r="AM517" s="894"/>
      <c r="AN517" s="894"/>
      <c r="AO517" s="894"/>
      <c r="AP517" s="894"/>
      <c r="AQ517" s="894"/>
    </row>
    <row r="518" spans="4:43" ht="33.75" customHeight="1" outlineLevel="1">
      <c r="D518" s="1">
        <v>45</v>
      </c>
      <c r="AB518" s="894"/>
      <c r="AC518" s="894"/>
      <c r="AD518" s="894"/>
      <c r="AE518" s="894"/>
      <c r="AF518" s="894"/>
      <c r="AG518" s="894"/>
      <c r="AH518" s="894"/>
      <c r="AI518" s="894"/>
      <c r="AJ518" s="894"/>
      <c r="AK518" s="894"/>
      <c r="AL518" s="894"/>
      <c r="AM518" s="894"/>
      <c r="AN518" s="894"/>
      <c r="AO518" s="894"/>
      <c r="AP518" s="894"/>
      <c r="AQ518" s="894"/>
    </row>
    <row r="519" spans="4:43" ht="28.5" hidden="1" customHeight="1">
      <c r="D519" s="1">
        <v>0</v>
      </c>
      <c r="AB519" s="890"/>
      <c r="AC519" s="890"/>
      <c r="AD519" s="890"/>
      <c r="AE519" s="890"/>
      <c r="AF519" s="890"/>
      <c r="AG519" s="890"/>
      <c r="AH519" s="890"/>
      <c r="AI519" s="890"/>
      <c r="AJ519" s="890"/>
      <c r="AK519" s="890"/>
      <c r="AL519" s="890"/>
      <c r="AM519" s="890"/>
      <c r="AN519" s="890"/>
      <c r="AO519" s="890"/>
      <c r="AP519" s="890"/>
      <c r="AQ519" s="890"/>
    </row>
    <row r="520" spans="4:43" ht="36" customHeight="1" outlineLevel="1">
      <c r="D520" s="1">
        <v>48</v>
      </c>
      <c r="AB520" s="898" t="s">
        <v>1539</v>
      </c>
      <c r="AC520" s="890"/>
      <c r="AD520" s="890"/>
      <c r="AE520" s="890"/>
      <c r="AF520" s="890"/>
      <c r="AG520" s="890"/>
      <c r="AH520" s="890"/>
      <c r="AI520" s="890"/>
      <c r="AJ520" s="890"/>
      <c r="AK520" s="890"/>
      <c r="AL520" s="890"/>
      <c r="AM520" s="890"/>
      <c r="AN520" s="890"/>
      <c r="AO520" s="890"/>
      <c r="AP520" s="890"/>
      <c r="AQ520" s="890"/>
    </row>
    <row r="521" spans="4:43" ht="33.75" customHeight="1" outlineLevel="1">
      <c r="D521" s="1">
        <v>45</v>
      </c>
      <c r="AB521" s="894" t="e">
        <f>"Утверждённые расходы на "&amp;PRD-1&amp;" год составили "&amp;ROUND(#REF!,2)&amp;" тыс. руб. Планируемый организацией размер расходов по данной статье, включаемых в необходимую валовую выручку на "&amp;PRD&amp;" год, составляет "&amp;ROUND(#REF!,2)&amp;" тыс. руб. "</f>
        <v>#REF!</v>
      </c>
      <c r="AC521" s="894"/>
      <c r="AD521" s="894"/>
      <c r="AE521" s="894"/>
      <c r="AF521" s="894"/>
      <c r="AG521" s="894"/>
      <c r="AH521" s="894"/>
      <c r="AI521" s="894"/>
      <c r="AJ521" s="894"/>
      <c r="AK521" s="894"/>
      <c r="AL521" s="894"/>
      <c r="AM521" s="894"/>
      <c r="AN521" s="894"/>
      <c r="AO521" s="894"/>
      <c r="AP521" s="894"/>
      <c r="AQ521" s="894"/>
    </row>
    <row r="522" spans="4:43" ht="33.75" customHeight="1" outlineLevel="1">
      <c r="D522" s="1">
        <v>45</v>
      </c>
      <c r="AB522" s="894" t="s">
        <v>1530</v>
      </c>
      <c r="AC522" s="894"/>
      <c r="AD522" s="894"/>
      <c r="AE522" s="894"/>
      <c r="AF522" s="894"/>
      <c r="AG522" s="894"/>
      <c r="AH522" s="894"/>
      <c r="AI522" s="894"/>
      <c r="AJ522" s="894"/>
      <c r="AK522" s="894"/>
      <c r="AL522" s="894"/>
      <c r="AM522" s="894"/>
      <c r="AN522" s="894"/>
      <c r="AO522" s="894"/>
      <c r="AP522" s="894"/>
      <c r="AQ522" s="894"/>
    </row>
    <row r="523" spans="4:43" ht="33.75" customHeight="1" outlineLevel="1">
      <c r="D523" s="1">
        <v>45</v>
      </c>
      <c r="AB523" s="894"/>
      <c r="AC523" s="894"/>
      <c r="AD523" s="894"/>
      <c r="AE523" s="894"/>
      <c r="AF523" s="894"/>
      <c r="AG523" s="894"/>
      <c r="AH523" s="894"/>
      <c r="AI523" s="894"/>
      <c r="AJ523" s="894"/>
      <c r="AK523" s="894"/>
      <c r="AL523" s="894"/>
      <c r="AM523" s="894"/>
      <c r="AN523" s="894"/>
      <c r="AO523" s="894"/>
      <c r="AP523" s="894"/>
      <c r="AQ523" s="894"/>
    </row>
    <row r="524" spans="4:43" ht="33.75" customHeight="1" outlineLevel="1">
      <c r="D524" s="1">
        <v>45</v>
      </c>
      <c r="AB524" s="894"/>
      <c r="AC524" s="894"/>
      <c r="AD524" s="894"/>
      <c r="AE524" s="894"/>
      <c r="AF524" s="894"/>
      <c r="AG524" s="894"/>
      <c r="AH524" s="894"/>
      <c r="AI524" s="894"/>
      <c r="AJ524" s="894"/>
      <c r="AK524" s="894"/>
      <c r="AL524" s="894"/>
      <c r="AM524" s="894"/>
      <c r="AN524" s="894"/>
      <c r="AO524" s="894"/>
      <c r="AP524" s="894"/>
      <c r="AQ524" s="894"/>
    </row>
    <row r="525" spans="4:43" ht="33.75" customHeight="1" outlineLevel="1">
      <c r="D525" s="1">
        <v>45</v>
      </c>
      <c r="AB525" s="894"/>
      <c r="AC525" s="894"/>
      <c r="AD525" s="894"/>
      <c r="AE525" s="894"/>
      <c r="AF525" s="894"/>
      <c r="AG525" s="894"/>
      <c r="AH525" s="894"/>
      <c r="AI525" s="894"/>
      <c r="AJ525" s="894"/>
      <c r="AK525" s="894"/>
      <c r="AL525" s="894"/>
      <c r="AM525" s="894"/>
      <c r="AN525" s="894"/>
      <c r="AO525" s="894"/>
      <c r="AP525" s="894"/>
      <c r="AQ525" s="894"/>
    </row>
    <row r="526" spans="4:43" ht="33.75" customHeight="1" outlineLevel="1">
      <c r="D526" s="1">
        <v>45</v>
      </c>
      <c r="AB526" s="894" t="e">
        <f>"Экспертами принято решение признать экономически обоснованными расходы на "&amp;PRD&amp;" год в размере "&amp;ROUND(#REF!,2)&amp;" тыс. руб."</f>
        <v>#REF!</v>
      </c>
      <c r="AC526" s="894"/>
      <c r="AD526" s="894"/>
      <c r="AE526" s="894"/>
      <c r="AF526" s="894"/>
      <c r="AG526" s="894"/>
      <c r="AH526" s="894"/>
      <c r="AI526" s="894"/>
      <c r="AJ526" s="894"/>
      <c r="AK526" s="894"/>
      <c r="AL526" s="894"/>
      <c r="AM526" s="894"/>
      <c r="AN526" s="894"/>
      <c r="AO526" s="894"/>
      <c r="AP526" s="894"/>
      <c r="AQ526" s="894"/>
    </row>
    <row r="527" spans="4:43" ht="33.75" customHeight="1" outlineLevel="1">
      <c r="D527" s="1">
        <v>45</v>
      </c>
      <c r="AB527" s="894"/>
      <c r="AC527" s="894"/>
      <c r="AD527" s="894"/>
      <c r="AE527" s="894"/>
      <c r="AF527" s="894"/>
      <c r="AG527" s="894"/>
      <c r="AH527" s="894"/>
      <c r="AI527" s="894"/>
      <c r="AJ527" s="894"/>
      <c r="AK527" s="894"/>
      <c r="AL527" s="894"/>
      <c r="AM527" s="894"/>
      <c r="AN527" s="894"/>
      <c r="AO527" s="894"/>
      <c r="AP527" s="894"/>
      <c r="AQ527" s="894"/>
    </row>
    <row r="528" spans="4:43" ht="33.75" customHeight="1" outlineLevel="1">
      <c r="D528" s="1">
        <v>45</v>
      </c>
      <c r="AB528" s="894"/>
      <c r="AC528" s="894"/>
      <c r="AD528" s="894"/>
      <c r="AE528" s="894"/>
      <c r="AF528" s="894"/>
      <c r="AG528" s="894"/>
      <c r="AH528" s="894"/>
      <c r="AI528" s="894"/>
      <c r="AJ528" s="894"/>
      <c r="AK528" s="894"/>
      <c r="AL528" s="894"/>
      <c r="AM528" s="894"/>
      <c r="AN528" s="894"/>
      <c r="AO528" s="894"/>
      <c r="AP528" s="894"/>
      <c r="AQ528" s="894"/>
    </row>
    <row r="529" spans="4:43" ht="33.75" customHeight="1">
      <c r="D529">
        <v>45</v>
      </c>
      <c r="AB529" s="890"/>
      <c r="AC529" s="890"/>
      <c r="AD529" s="890"/>
      <c r="AE529" s="890"/>
      <c r="AF529" s="890"/>
      <c r="AG529" s="890"/>
      <c r="AH529" s="890"/>
      <c r="AI529" s="890"/>
      <c r="AJ529" s="890"/>
      <c r="AK529" s="890"/>
      <c r="AL529" s="890"/>
      <c r="AM529" s="890"/>
      <c r="AN529" s="890"/>
      <c r="AO529" s="890"/>
      <c r="AP529" s="890"/>
      <c r="AQ529" s="890"/>
    </row>
    <row r="530" spans="4:43" ht="33.75" customHeight="1" outlineLevel="1">
      <c r="D530" s="1">
        <v>45</v>
      </c>
      <c r="AB530" s="898" t="s">
        <v>1540</v>
      </c>
      <c r="AC530" s="890"/>
      <c r="AD530" s="890"/>
      <c r="AE530" s="890"/>
      <c r="AF530" s="890"/>
      <c r="AG530" s="890"/>
      <c r="AH530" s="890"/>
      <c r="AI530" s="890"/>
      <c r="AJ530" s="890"/>
      <c r="AK530" s="890"/>
      <c r="AL530" s="890"/>
      <c r="AM530" s="890"/>
      <c r="AN530" s="890"/>
      <c r="AO530" s="890"/>
      <c r="AP530" s="890"/>
      <c r="AQ530" s="890"/>
    </row>
    <row r="531" spans="4:43" ht="33.75" customHeight="1" outlineLevel="1">
      <c r="D531" s="1">
        <v>45</v>
      </c>
      <c r="AB531" s="894" t="e">
        <f>"Планируемый организацией размер расходов по данной статье, включаемых в необходимую валовую выручку на "&amp;PRD&amp;" год, составляет "&amp;ROUND(#REF!,2)&amp;" тыс. руб. "</f>
        <v>#REF!</v>
      </c>
      <c r="AC531" s="894"/>
      <c r="AD531" s="894"/>
      <c r="AE531" s="894"/>
      <c r="AF531" s="894"/>
      <c r="AG531" s="894"/>
      <c r="AH531" s="894"/>
      <c r="AI531" s="894"/>
      <c r="AJ531" s="894"/>
      <c r="AK531" s="894"/>
      <c r="AL531" s="894"/>
      <c r="AM531" s="894"/>
      <c r="AN531" s="894"/>
      <c r="AO531" s="894"/>
      <c r="AP531" s="894"/>
      <c r="AQ531" s="894"/>
    </row>
    <row r="532" spans="4:43" ht="33.75" customHeight="1" outlineLevel="1">
      <c r="D532" s="1">
        <v>45</v>
      </c>
      <c r="AB532" s="894" t="s">
        <v>1530</v>
      </c>
      <c r="AC532" s="894"/>
      <c r="AD532" s="894"/>
      <c r="AE532" s="894"/>
      <c r="AF532" s="894"/>
      <c r="AG532" s="894"/>
      <c r="AH532" s="894"/>
      <c r="AI532" s="894"/>
      <c r="AJ532" s="894"/>
      <c r="AK532" s="894"/>
      <c r="AL532" s="894"/>
      <c r="AM532" s="894"/>
      <c r="AN532" s="894"/>
      <c r="AO532" s="894"/>
      <c r="AP532" s="894"/>
      <c r="AQ532" s="894"/>
    </row>
    <row r="533" spans="4:43" ht="33.75" customHeight="1" outlineLevel="1">
      <c r="D533" s="1">
        <v>45</v>
      </c>
      <c r="AB533" s="894"/>
      <c r="AC533" s="894"/>
      <c r="AD533" s="894"/>
      <c r="AE533" s="894"/>
      <c r="AF533" s="894"/>
      <c r="AG533" s="894"/>
      <c r="AH533" s="894"/>
      <c r="AI533" s="894"/>
      <c r="AJ533" s="894"/>
      <c r="AK533" s="894"/>
      <c r="AL533" s="894"/>
      <c r="AM533" s="894"/>
      <c r="AN533" s="894"/>
      <c r="AO533" s="894"/>
      <c r="AP533" s="894"/>
      <c r="AQ533" s="894"/>
    </row>
    <row r="534" spans="4:43" ht="33.75" customHeight="1" outlineLevel="1">
      <c r="D534" s="1">
        <v>45</v>
      </c>
      <c r="AB534" s="894"/>
      <c r="AC534" s="894"/>
      <c r="AD534" s="894"/>
      <c r="AE534" s="894"/>
      <c r="AF534" s="894"/>
      <c r="AG534" s="894"/>
      <c r="AH534" s="894"/>
      <c r="AI534" s="894"/>
      <c r="AJ534" s="894"/>
      <c r="AK534" s="894"/>
      <c r="AL534" s="894"/>
      <c r="AM534" s="894"/>
      <c r="AN534" s="894"/>
      <c r="AO534" s="894"/>
      <c r="AP534" s="894"/>
      <c r="AQ534" s="894"/>
    </row>
    <row r="535" spans="4:43" ht="33.75" customHeight="1" outlineLevel="1">
      <c r="D535" s="1">
        <v>45</v>
      </c>
      <c r="AB535" s="894"/>
      <c r="AC535" s="894"/>
      <c r="AD535" s="894"/>
      <c r="AE535" s="894"/>
      <c r="AF535" s="894"/>
      <c r="AG535" s="894"/>
      <c r="AH535" s="894"/>
      <c r="AI535" s="894"/>
      <c r="AJ535" s="894"/>
      <c r="AK535" s="894"/>
      <c r="AL535" s="894"/>
      <c r="AM535" s="894"/>
      <c r="AN535" s="894"/>
      <c r="AO535" s="894"/>
      <c r="AP535" s="894"/>
      <c r="AQ535" s="894"/>
    </row>
    <row r="536" spans="4:43" ht="33.75" customHeight="1" outlineLevel="1">
      <c r="D536" s="1">
        <v>45</v>
      </c>
      <c r="AB536" s="894" t="e">
        <f>"Экспертами принято решение признать экономически обоснованными расходы на "&amp;PRD&amp;" год в размере "&amp;ROUND(#REF!,2)&amp;" тыс. руб."</f>
        <v>#REF!</v>
      </c>
      <c r="AC536" s="894"/>
      <c r="AD536" s="894"/>
      <c r="AE536" s="894"/>
      <c r="AF536" s="894"/>
      <c r="AG536" s="894"/>
      <c r="AH536" s="894"/>
      <c r="AI536" s="894"/>
      <c r="AJ536" s="894"/>
      <c r="AK536" s="894"/>
      <c r="AL536" s="894"/>
      <c r="AM536" s="894"/>
      <c r="AN536" s="894"/>
      <c r="AO536" s="894"/>
      <c r="AP536" s="894"/>
      <c r="AQ536" s="894"/>
    </row>
    <row r="537" spans="4:43" ht="33.75" customHeight="1" outlineLevel="1">
      <c r="D537" s="1">
        <v>45</v>
      </c>
      <c r="AB537" s="894"/>
      <c r="AC537" s="894"/>
      <c r="AD537" s="894"/>
      <c r="AE537" s="894"/>
      <c r="AF537" s="894"/>
      <c r="AG537" s="894"/>
      <c r="AH537" s="894"/>
      <c r="AI537" s="894"/>
      <c r="AJ537" s="894"/>
      <c r="AK537" s="894"/>
      <c r="AL537" s="894"/>
      <c r="AM537" s="894"/>
      <c r="AN537" s="894"/>
      <c r="AO537" s="894"/>
      <c r="AP537" s="894"/>
      <c r="AQ537" s="894"/>
    </row>
    <row r="538" spans="4:43" ht="33.75" customHeight="1" outlineLevel="1">
      <c r="D538" s="1">
        <v>45</v>
      </c>
      <c r="AB538" s="894"/>
      <c r="AC538" s="894"/>
      <c r="AD538" s="894"/>
      <c r="AE538" s="894"/>
      <c r="AF538" s="894"/>
      <c r="AG538" s="894"/>
      <c r="AH538" s="894"/>
      <c r="AI538" s="894"/>
      <c r="AJ538" s="894"/>
      <c r="AK538" s="894"/>
      <c r="AL538" s="894"/>
      <c r="AM538" s="894"/>
      <c r="AN538" s="894"/>
      <c r="AO538" s="894"/>
      <c r="AP538" s="894"/>
      <c r="AQ538" s="894"/>
    </row>
    <row r="539" spans="4:43" ht="33.75" customHeight="1">
      <c r="D539">
        <v>45</v>
      </c>
      <c r="AB539" s="890"/>
      <c r="AC539" s="890"/>
      <c r="AD539" s="890"/>
      <c r="AE539" s="890"/>
      <c r="AF539" s="890"/>
      <c r="AG539" s="890"/>
      <c r="AH539" s="890"/>
      <c r="AI539" s="890"/>
      <c r="AJ539" s="890"/>
      <c r="AK539" s="890"/>
      <c r="AL539" s="890"/>
      <c r="AM539" s="890"/>
      <c r="AN539" s="890"/>
      <c r="AO539" s="890"/>
      <c r="AP539" s="890"/>
      <c r="AQ539" s="890"/>
    </row>
    <row r="540" spans="4:43" ht="33.75" customHeight="1" outlineLevel="1">
      <c r="D540" s="1">
        <v>45</v>
      </c>
      <c r="AB540" s="898" t="s">
        <v>1541</v>
      </c>
      <c r="AC540" s="890"/>
      <c r="AD540" s="890"/>
      <c r="AE540" s="890"/>
      <c r="AF540" s="890"/>
      <c r="AG540" s="890"/>
      <c r="AH540" s="890"/>
      <c r="AI540" s="890"/>
      <c r="AJ540" s="890"/>
      <c r="AK540" s="890"/>
      <c r="AL540" s="890"/>
      <c r="AM540" s="890"/>
      <c r="AN540" s="890"/>
      <c r="AO540" s="890"/>
      <c r="AP540" s="890"/>
      <c r="AQ540" s="890"/>
    </row>
    <row r="541" spans="4:43" ht="33.75" customHeight="1" outlineLevel="1">
      <c r="D541" s="1">
        <v>45</v>
      </c>
      <c r="AB541" s="894" t="e">
        <f>"Планируемый организацией размер расходов по данной статье, включаемых в необходимую валовую выручку на "&amp;PRD&amp;" год, составляет "&amp;ROUND(#REF!,2)&amp;" тыс. руб. "</f>
        <v>#REF!</v>
      </c>
      <c r="AC541" s="894"/>
      <c r="AD541" s="894"/>
      <c r="AE541" s="894"/>
      <c r="AF541" s="894"/>
      <c r="AG541" s="894"/>
      <c r="AH541" s="894"/>
      <c r="AI541" s="894"/>
      <c r="AJ541" s="894"/>
      <c r="AK541" s="894"/>
      <c r="AL541" s="894"/>
      <c r="AM541" s="894"/>
      <c r="AN541" s="894"/>
      <c r="AO541" s="894"/>
      <c r="AP541" s="894"/>
      <c r="AQ541" s="894"/>
    </row>
    <row r="542" spans="4:43" ht="33.75" customHeight="1" outlineLevel="1">
      <c r="D542" s="1">
        <v>45</v>
      </c>
      <c r="AB542" s="894" t="s">
        <v>1530</v>
      </c>
      <c r="AC542" s="894"/>
      <c r="AD542" s="894"/>
      <c r="AE542" s="894"/>
      <c r="AF542" s="894"/>
      <c r="AG542" s="894"/>
      <c r="AH542" s="894"/>
      <c r="AI542" s="894"/>
      <c r="AJ542" s="894"/>
      <c r="AK542" s="894"/>
      <c r="AL542" s="894"/>
      <c r="AM542" s="894"/>
      <c r="AN542" s="894"/>
      <c r="AO542" s="894"/>
      <c r="AP542" s="894"/>
      <c r="AQ542" s="894"/>
    </row>
    <row r="543" spans="4:43" ht="33.75" customHeight="1" outlineLevel="1">
      <c r="D543" s="1">
        <v>45</v>
      </c>
      <c r="AB543" s="894"/>
      <c r="AC543" s="894"/>
      <c r="AD543" s="894"/>
      <c r="AE543" s="894"/>
      <c r="AF543" s="894"/>
      <c r="AG543" s="894"/>
      <c r="AH543" s="894"/>
      <c r="AI543" s="894"/>
      <c r="AJ543" s="894"/>
      <c r="AK543" s="894"/>
      <c r="AL543" s="894"/>
      <c r="AM543" s="894"/>
      <c r="AN543" s="894"/>
      <c r="AO543" s="894"/>
      <c r="AP543" s="894"/>
      <c r="AQ543" s="894"/>
    </row>
    <row r="544" spans="4:43" ht="33.75" customHeight="1" outlineLevel="1">
      <c r="D544" s="1">
        <v>45</v>
      </c>
      <c r="AB544" s="894"/>
      <c r="AC544" s="894"/>
      <c r="AD544" s="894"/>
      <c r="AE544" s="894"/>
      <c r="AF544" s="894"/>
      <c r="AG544" s="894"/>
      <c r="AH544" s="894"/>
      <c r="AI544" s="894"/>
      <c r="AJ544" s="894"/>
      <c r="AK544" s="894"/>
      <c r="AL544" s="894"/>
      <c r="AM544" s="894"/>
      <c r="AN544" s="894"/>
      <c r="AO544" s="894"/>
      <c r="AP544" s="894"/>
      <c r="AQ544" s="894"/>
    </row>
    <row r="545" spans="4:43" ht="33.75" customHeight="1" outlineLevel="1">
      <c r="D545" s="1">
        <v>45</v>
      </c>
      <c r="AB545" s="894"/>
      <c r="AC545" s="894"/>
      <c r="AD545" s="894"/>
      <c r="AE545" s="894"/>
      <c r="AF545" s="894"/>
      <c r="AG545" s="894"/>
      <c r="AH545" s="894"/>
      <c r="AI545" s="894"/>
      <c r="AJ545" s="894"/>
      <c r="AK545" s="894"/>
      <c r="AL545" s="894"/>
      <c r="AM545" s="894"/>
      <c r="AN545" s="894"/>
      <c r="AO545" s="894"/>
      <c r="AP545" s="894"/>
      <c r="AQ545" s="894"/>
    </row>
    <row r="546" spans="4:43" ht="33.75" customHeight="1" outlineLevel="1">
      <c r="D546" s="1">
        <v>45</v>
      </c>
      <c r="AB546" s="894" t="e">
        <f>"Экспертами принято решение признать экономически обоснованными расходы на "&amp;PRD&amp;" год в размере "&amp;ROUND(#REF!,2)&amp;" тыс. руб."</f>
        <v>#REF!</v>
      </c>
      <c r="AC546" s="894"/>
      <c r="AD546" s="894"/>
      <c r="AE546" s="894"/>
      <c r="AF546" s="894"/>
      <c r="AG546" s="894"/>
      <c r="AH546" s="894"/>
      <c r="AI546" s="894"/>
      <c r="AJ546" s="894"/>
      <c r="AK546" s="894"/>
      <c r="AL546" s="894"/>
      <c r="AM546" s="894"/>
      <c r="AN546" s="894"/>
      <c r="AO546" s="894"/>
      <c r="AP546" s="894"/>
      <c r="AQ546" s="894"/>
    </row>
    <row r="547" spans="4:43" ht="33.75" customHeight="1" outlineLevel="1">
      <c r="D547" s="1">
        <v>45</v>
      </c>
      <c r="AB547" s="894"/>
      <c r="AC547" s="894"/>
      <c r="AD547" s="894"/>
      <c r="AE547" s="894"/>
      <c r="AF547" s="894"/>
      <c r="AG547" s="894"/>
      <c r="AH547" s="894"/>
      <c r="AI547" s="894"/>
      <c r="AJ547" s="894"/>
      <c r="AK547" s="894"/>
      <c r="AL547" s="894"/>
      <c r="AM547" s="894"/>
      <c r="AN547" s="894"/>
      <c r="AO547" s="894"/>
      <c r="AP547" s="894"/>
      <c r="AQ547" s="894"/>
    </row>
    <row r="548" spans="4:43" ht="33.75" customHeight="1" outlineLevel="1">
      <c r="D548" s="1">
        <v>45</v>
      </c>
      <c r="AB548" s="894"/>
      <c r="AC548" s="894"/>
      <c r="AD548" s="894"/>
      <c r="AE548" s="894"/>
      <c r="AF548" s="894"/>
      <c r="AG548" s="894"/>
      <c r="AH548" s="894"/>
      <c r="AI548" s="894"/>
      <c r="AJ548" s="894"/>
      <c r="AK548" s="894"/>
      <c r="AL548" s="894"/>
      <c r="AM548" s="894"/>
      <c r="AN548" s="894"/>
      <c r="AO548" s="894"/>
      <c r="AP548" s="894"/>
      <c r="AQ548" s="894"/>
    </row>
    <row r="549" spans="4:43" ht="33.75" customHeight="1">
      <c r="D549">
        <v>45</v>
      </c>
      <c r="AB549" s="890"/>
      <c r="AC549" s="890"/>
      <c r="AD549" s="890"/>
      <c r="AE549" s="890"/>
      <c r="AF549" s="890"/>
      <c r="AG549" s="890"/>
      <c r="AH549" s="890"/>
      <c r="AI549" s="890"/>
      <c r="AJ549" s="890"/>
      <c r="AK549" s="890"/>
      <c r="AL549" s="890"/>
      <c r="AM549" s="890"/>
      <c r="AN549" s="890"/>
      <c r="AO549" s="890"/>
      <c r="AP549" s="890"/>
      <c r="AQ549" s="890"/>
    </row>
    <row r="550" spans="4:43" ht="33.75" customHeight="1">
      <c r="D550">
        <v>45</v>
      </c>
      <c r="AB550" s="890"/>
      <c r="AC550" s="890"/>
      <c r="AD550" s="890"/>
      <c r="AE550" s="890"/>
      <c r="AF550" s="890"/>
      <c r="AG550" s="890"/>
      <c r="AH550" s="890"/>
      <c r="AI550" s="890"/>
      <c r="AJ550" s="890"/>
      <c r="AK550" s="890"/>
      <c r="AL550" s="890"/>
      <c r="AM550" s="890"/>
      <c r="AN550" s="890"/>
      <c r="AO550" s="890"/>
      <c r="AP550" s="890"/>
      <c r="AQ550" s="890"/>
    </row>
    <row r="551" spans="4:43" ht="17.25" customHeight="1">
      <c r="D551" s="1">
        <v>23</v>
      </c>
      <c r="AB551" s="940" t="s">
        <v>1542</v>
      </c>
      <c r="AC551" s="781"/>
      <c r="AD551" s="781"/>
      <c r="AE551" s="781"/>
      <c r="AF551" s="781"/>
      <c r="AG551" s="781"/>
      <c r="AH551" s="781"/>
      <c r="AI551" s="781"/>
      <c r="AJ551" s="781"/>
      <c r="AK551" s="781"/>
      <c r="AL551" s="781"/>
      <c r="AM551" s="781"/>
      <c r="AN551" s="781"/>
      <c r="AO551" s="781"/>
      <c r="AP551" s="781"/>
      <c r="AQ551" s="781"/>
    </row>
    <row r="552" spans="4:43" ht="33.75" customHeight="1">
      <c r="D552" s="1">
        <v>45</v>
      </c>
      <c r="AB552" s="896" t="e">
        <f>AG27&amp;IF(#REF!=0," не планирует расходов по данной статье. Эксперты согласились с предложением организации.","планирует расходы в размере "&amp;#REF!)</f>
        <v>#REF!</v>
      </c>
      <c r="AC552" s="896"/>
      <c r="AD552" s="896"/>
      <c r="AE552" s="896"/>
      <c r="AF552" s="896"/>
      <c r="AG552" s="896"/>
      <c r="AH552" s="896"/>
      <c r="AI552" s="896"/>
      <c r="AJ552" s="896"/>
      <c r="AK552" s="896"/>
      <c r="AL552" s="896"/>
      <c r="AM552" s="896"/>
      <c r="AN552" s="896"/>
      <c r="AO552" s="896"/>
      <c r="AP552" s="896"/>
      <c r="AQ552" s="896"/>
    </row>
    <row r="553" spans="4:43" ht="33.75" customHeight="1">
      <c r="D553" s="1">
        <v>45</v>
      </c>
      <c r="AB553" s="896"/>
      <c r="AC553" s="896"/>
      <c r="AD553" s="896"/>
      <c r="AE553" s="896"/>
      <c r="AF553" s="896"/>
      <c r="AG553" s="896"/>
      <c r="AH553" s="896"/>
      <c r="AI553" s="896"/>
      <c r="AJ553" s="896"/>
      <c r="AK553" s="896"/>
      <c r="AL553" s="896"/>
      <c r="AM553" s="896"/>
      <c r="AN553" s="896"/>
      <c r="AO553" s="896"/>
      <c r="AP553" s="896"/>
      <c r="AQ553" s="896"/>
    </row>
    <row r="554" spans="4:43" ht="33.75" customHeight="1">
      <c r="D554" s="1">
        <v>45</v>
      </c>
      <c r="AB554" s="896"/>
      <c r="AC554" s="896"/>
      <c r="AD554" s="896"/>
      <c r="AE554" s="896"/>
      <c r="AF554" s="896"/>
      <c r="AG554" s="896"/>
      <c r="AH554" s="896"/>
      <c r="AI554" s="896"/>
      <c r="AJ554" s="896"/>
      <c r="AK554" s="896"/>
      <c r="AL554" s="896"/>
      <c r="AM554" s="896"/>
      <c r="AN554" s="896"/>
      <c r="AO554" s="896"/>
      <c r="AP554" s="896"/>
      <c r="AQ554" s="896"/>
    </row>
    <row r="555" spans="4:43" ht="33.75" customHeight="1">
      <c r="D555">
        <v>45</v>
      </c>
      <c r="AB555" s="781"/>
      <c r="AC555" s="781"/>
      <c r="AD555" s="781"/>
      <c r="AE555" s="781"/>
      <c r="AF555" s="781"/>
      <c r="AG555" s="781"/>
      <c r="AH555" s="781"/>
      <c r="AI555" s="781"/>
      <c r="AJ555" s="781"/>
      <c r="AK555" s="781"/>
      <c r="AL555" s="781"/>
      <c r="AM555" s="781"/>
      <c r="AN555" s="781"/>
      <c r="AO555" s="781"/>
      <c r="AP555" s="781"/>
      <c r="AQ555" s="781"/>
    </row>
    <row r="556" spans="4:43" ht="17.25" customHeight="1" outlineLevel="1">
      <c r="D556" s="1">
        <v>23</v>
      </c>
      <c r="AB556" s="940" t="s">
        <v>1543</v>
      </c>
      <c r="AC556" s="781"/>
      <c r="AD556" s="781"/>
      <c r="AE556" s="781"/>
      <c r="AF556" s="781"/>
      <c r="AG556" s="781"/>
      <c r="AH556" s="781"/>
      <c r="AI556" s="781"/>
      <c r="AJ556" s="781"/>
      <c r="AK556" s="781"/>
      <c r="AL556" s="781"/>
      <c r="AM556" s="781"/>
      <c r="AN556" s="781"/>
      <c r="AO556" s="781"/>
      <c r="AP556" s="781"/>
      <c r="AQ556" s="781"/>
    </row>
    <row r="557" spans="4:43" ht="17.25" customHeight="1" outlineLevel="1">
      <c r="D557" s="1">
        <v>23</v>
      </c>
    </row>
    <row r="558" spans="4:43" ht="33.75" customHeight="1" outlineLevel="1">
      <c r="D558" s="1">
        <v>45</v>
      </c>
      <c r="AB558" s="896" t="s">
        <v>1544</v>
      </c>
      <c r="AC558" s="896"/>
      <c r="AD558" s="896"/>
      <c r="AE558" s="896"/>
      <c r="AF558" s="896"/>
      <c r="AG558" s="896"/>
      <c r="AH558" s="896"/>
      <c r="AI558" s="896"/>
      <c r="AJ558" s="896"/>
      <c r="AK558" s="896"/>
      <c r="AL558" s="896"/>
      <c r="AM558" s="896"/>
      <c r="AN558" s="896"/>
      <c r="AO558" s="896"/>
      <c r="AP558" s="896"/>
      <c r="AQ558" s="896"/>
    </row>
    <row r="559" spans="4:43" ht="21" customHeight="1" outlineLevel="1">
      <c r="D559" s="1">
        <v>28</v>
      </c>
      <c r="AB559" s="896" t="e">
        <f>"Предприятием предлагается включить в необходимую валовую выручку на "&amp;PRD&amp;" год корректировки, рассчитанные на основании фактических данных за "&amp;PRD-2&amp;" год, в сумме "&amp;ROUND(#REF!,2)&amp;" тыс. руб., в том числе:"</f>
        <v>#REF!</v>
      </c>
      <c r="AC559" s="896"/>
      <c r="AD559" s="896"/>
      <c r="AE559" s="896"/>
      <c r="AF559" s="896"/>
      <c r="AG559" s="896"/>
      <c r="AH559" s="896"/>
      <c r="AI559" s="896"/>
      <c r="AJ559" s="896"/>
      <c r="AK559" s="896"/>
      <c r="AL559" s="896"/>
      <c r="AM559" s="896"/>
      <c r="AN559" s="896"/>
      <c r="AO559" s="896"/>
      <c r="AP559" s="896"/>
      <c r="AQ559" s="896"/>
    </row>
    <row r="560" spans="4:43" ht="19.5" customHeight="1" outlineLevel="1">
      <c r="D560" s="1">
        <v>26</v>
      </c>
      <c r="AB560" s="896" t="e">
        <f>"1) корректировка подконтрольных расходов в связи с изменением планируемых параметров расчёта тарифов в сумме "&amp;ROUND(#REF!,2)&amp;" тыс. руб.,"</f>
        <v>#REF!</v>
      </c>
      <c r="AC560" s="896"/>
      <c r="AD560" s="896"/>
      <c r="AE560" s="896"/>
      <c r="AF560" s="896"/>
      <c r="AG560" s="896"/>
      <c r="AH560" s="896"/>
      <c r="AI560" s="896"/>
      <c r="AJ560" s="896"/>
      <c r="AK560" s="896"/>
      <c r="AL560" s="896"/>
      <c r="AM560" s="896"/>
      <c r="AN560" s="896"/>
      <c r="AO560" s="896"/>
      <c r="AP560" s="896"/>
      <c r="AQ560" s="896"/>
    </row>
    <row r="561" spans="4:43" ht="19.5" customHeight="1" outlineLevel="1">
      <c r="D561" s="1">
        <v>26</v>
      </c>
      <c r="AB561" s="896" t="e">
        <f>"2) корректировка неподконтрольных расходов исходя из фактических значений указанного параметра в сумме "&amp;ROUND(#REF!,2)&amp;" тыс. руб.,"</f>
        <v>#REF!</v>
      </c>
      <c r="AC561" s="896"/>
      <c r="AD561" s="896"/>
      <c r="AE561" s="896"/>
      <c r="AF561" s="896"/>
      <c r="AG561" s="896"/>
      <c r="AH561" s="896"/>
      <c r="AI561" s="896"/>
      <c r="AJ561" s="896"/>
      <c r="AK561" s="896"/>
      <c r="AL561" s="896"/>
      <c r="AM561" s="896"/>
      <c r="AN561" s="896"/>
      <c r="AO561" s="896"/>
      <c r="AP561" s="896"/>
      <c r="AQ561" s="896"/>
    </row>
    <row r="562" spans="4:43" ht="19.5" customHeight="1" outlineLevel="1">
      <c r="D562" s="1">
        <v>26</v>
      </c>
      <c r="AB562" s="896" t="e">
        <f>"3) корректировка необходимой валовой выручки по доходам от осуществления регулируемой деятельности в сумме "&amp;ROUND(#REF!,2)&amp;" тыс.руб.,"</f>
        <v>#REF!</v>
      </c>
      <c r="AC562" s="896"/>
      <c r="AD562" s="896"/>
      <c r="AE562" s="896"/>
      <c r="AF562" s="896"/>
      <c r="AG562" s="896"/>
      <c r="AH562" s="896"/>
      <c r="AI562" s="896"/>
      <c r="AJ562" s="896"/>
      <c r="AK562" s="896"/>
      <c r="AL562" s="896"/>
      <c r="AM562" s="896"/>
      <c r="AN562" s="896"/>
      <c r="AO562" s="896"/>
      <c r="AP562" s="896"/>
      <c r="AQ562" s="896"/>
    </row>
    <row r="563" spans="4:43" ht="19.5" customHeight="1" outlineLevel="1">
      <c r="D563" s="1">
        <v>26</v>
      </c>
      <c r="AB563" s="896" t="e">
        <f>"4) корректировка необходимой валовой выручки регулируемой организации с учётом изменения полезного отпуска и цен на электрическую энергию в сумме "&amp;ROUND(#REF!,2)&amp;" тыс.руб."</f>
        <v>#REF!</v>
      </c>
      <c r="AC563" s="896"/>
      <c r="AD563" s="896"/>
      <c r="AE563" s="896"/>
      <c r="AF563" s="896"/>
      <c r="AG563" s="896"/>
      <c r="AH563" s="896"/>
      <c r="AI563" s="896"/>
      <c r="AJ563" s="896"/>
      <c r="AK563" s="896"/>
      <c r="AL563" s="896"/>
      <c r="AM563" s="896"/>
      <c r="AN563" s="896"/>
      <c r="AO563" s="896"/>
      <c r="AP563" s="896"/>
      <c r="AQ563" s="896"/>
    </row>
    <row r="564" spans="4:43" ht="19.5" customHeight="1" outlineLevel="1">
      <c r="D564" s="1">
        <v>26</v>
      </c>
      <c r="AB564" s="896" t="e">
        <f>"5) Выполнение инвестиционной программы "&amp;ROUND(#REF!,2)&amp;" тыс.руб."</f>
        <v>#REF!</v>
      </c>
      <c r="AC564" s="896"/>
      <c r="AD564" s="896"/>
      <c r="AE564" s="896"/>
      <c r="AF564" s="896"/>
      <c r="AG564" s="896"/>
      <c r="AH564" s="896"/>
      <c r="AI564" s="896"/>
      <c r="AJ564" s="896"/>
      <c r="AK564" s="896"/>
      <c r="AL564" s="896"/>
      <c r="AM564" s="896"/>
      <c r="AN564" s="896"/>
      <c r="AO564" s="896"/>
      <c r="AP564" s="896"/>
      <c r="AQ564" s="896"/>
    </row>
    <row r="565" spans="4:43" ht="19.5" customHeight="1" outlineLevel="1">
      <c r="D565" s="1">
        <v>26</v>
      </c>
      <c r="AB565" s="896" t="e">
        <f>"6) Корректировка  НВВ по исполнению показателей надежности и качества "&amp;ROUND(#REF!,2)&amp;" тыс.руб."</f>
        <v>#REF!</v>
      </c>
      <c r="AC565" s="896"/>
      <c r="AD565" s="896"/>
      <c r="AE565" s="896"/>
      <c r="AF565" s="896"/>
      <c r="AG565" s="896"/>
      <c r="AH565" s="896"/>
      <c r="AI565" s="896"/>
      <c r="AJ565" s="896"/>
      <c r="AK565" s="896"/>
      <c r="AL565" s="896"/>
      <c r="AM565" s="896"/>
      <c r="AN565" s="896"/>
      <c r="AO565" s="896"/>
      <c r="AP565" s="896"/>
      <c r="AQ565" s="896"/>
    </row>
    <row r="566" spans="4:43" ht="19.5" customHeight="1" outlineLevel="1">
      <c r="D566" s="1">
        <v>26</v>
      </c>
      <c r="AB566" s="896" t="e">
        <f>"7) Корректировка ком. Учета "&amp;ROUND(#REF!,2)&amp;" тыс.руб."</f>
        <v>#REF!</v>
      </c>
      <c r="AC566" s="896"/>
      <c r="AD566" s="896"/>
      <c r="AE566" s="896"/>
      <c r="AF566" s="896"/>
      <c r="AG566" s="896"/>
      <c r="AH566" s="896"/>
      <c r="AI566" s="896"/>
      <c r="AJ566" s="896"/>
      <c r="AK566" s="896"/>
      <c r="AL566" s="896"/>
      <c r="AM566" s="896"/>
      <c r="AN566" s="896"/>
      <c r="AO566" s="896"/>
      <c r="AP566" s="896"/>
      <c r="AQ566" s="896"/>
    </row>
    <row r="567" spans="4:43" ht="19.5" customHeight="1" outlineLevel="1">
      <c r="D567" s="1">
        <v>26</v>
      </c>
      <c r="AB567" s="896" t="e">
        <f>"8) Корректировка НВВ по решению суда или ФАС "&amp;ROUND(#REF!,2)&amp;" тыс.руб."</f>
        <v>#REF!</v>
      </c>
      <c r="AC567" s="896"/>
      <c r="AD567" s="896"/>
      <c r="AE567" s="896"/>
      <c r="AF567" s="896"/>
      <c r="AG567" s="896"/>
      <c r="AH567" s="896"/>
      <c r="AI567" s="896"/>
      <c r="AJ567" s="896"/>
      <c r="AK567" s="896"/>
      <c r="AL567" s="896"/>
      <c r="AM567" s="896"/>
      <c r="AN567" s="896"/>
      <c r="AO567" s="896"/>
      <c r="AP567" s="896"/>
      <c r="AQ567" s="896"/>
    </row>
    <row r="568" spans="4:43" ht="19.5" customHeight="1" outlineLevel="1">
      <c r="D568" s="1">
        <v>26</v>
      </c>
      <c r="AB568" s="896" t="e">
        <f>"9) Корректировка НВВ в соответствии с актом проверки "&amp;ROUND(#REF!,2)&amp;" тыс.руб."</f>
        <v>#REF!</v>
      </c>
      <c r="AC568" s="896"/>
      <c r="AD568" s="896"/>
      <c r="AE568" s="896"/>
      <c r="AF568" s="896"/>
      <c r="AG568" s="896"/>
      <c r="AH568" s="896"/>
      <c r="AI568" s="896"/>
      <c r="AJ568" s="896"/>
      <c r="AK568" s="896"/>
      <c r="AL568" s="896"/>
      <c r="AM568" s="896"/>
      <c r="AN568" s="896"/>
      <c r="AO568" s="896"/>
      <c r="AP568" s="896"/>
      <c r="AQ568" s="896"/>
    </row>
    <row r="569" spans="4:43" ht="78" customHeight="1" outlineLevel="1">
      <c r="D569" s="1">
        <v>104</v>
      </c>
      <c r="AB569" s="896" t="s">
        <v>1545</v>
      </c>
      <c r="AC569" s="896"/>
      <c r="AD569" s="896"/>
      <c r="AE569" s="896"/>
      <c r="AF569" s="896"/>
      <c r="AG569" s="896"/>
      <c r="AH569" s="896"/>
      <c r="AI569" s="896"/>
      <c r="AJ569" s="896"/>
      <c r="AK569" s="896"/>
      <c r="AL569" s="896"/>
      <c r="AM569" s="896"/>
      <c r="AN569" s="896"/>
      <c r="AO569" s="896"/>
      <c r="AP569" s="896"/>
      <c r="AQ569" s="896"/>
    </row>
    <row r="570" spans="4:43" ht="75.75" customHeight="1" outlineLevel="1">
      <c r="D570" s="1">
        <v>101</v>
      </c>
      <c r="AB570" s="896" t="s">
        <v>1546</v>
      </c>
      <c r="AC570" s="896"/>
      <c r="AD570" s="896"/>
      <c r="AE570" s="896"/>
      <c r="AF570" s="896"/>
      <c r="AG570" s="896"/>
      <c r="AH570" s="896"/>
      <c r="AI570" s="896"/>
      <c r="AJ570" s="896"/>
      <c r="AK570" s="896"/>
      <c r="AL570" s="896"/>
      <c r="AM570" s="896"/>
      <c r="AN570" s="896"/>
      <c r="AO570" s="896"/>
      <c r="AP570" s="896"/>
      <c r="AQ570" s="896"/>
    </row>
    <row r="571" spans="4:43" ht="33.75" customHeight="1" outlineLevel="1">
      <c r="D571" s="1">
        <v>45</v>
      </c>
      <c r="AB571" s="890"/>
      <c r="AC571" s="895"/>
      <c r="AD571" s="895"/>
      <c r="AE571" s="895"/>
      <c r="AF571" s="895"/>
      <c r="AG571" s="895"/>
      <c r="AH571" s="895"/>
      <c r="AI571" s="895"/>
      <c r="AJ571" s="895"/>
      <c r="AK571" s="895"/>
      <c r="AL571" s="895"/>
      <c r="AM571" s="895"/>
      <c r="AN571" s="895"/>
      <c r="AO571" s="895"/>
      <c r="AP571" s="895"/>
      <c r="AQ571" s="895"/>
    </row>
    <row r="572" spans="4:43" ht="33.75" customHeight="1" outlineLevel="1">
      <c r="D572" s="1">
        <v>45</v>
      </c>
      <c r="AB572" s="888" t="s">
        <v>1547</v>
      </c>
      <c r="AC572" s="889"/>
      <c r="AD572" s="889"/>
      <c r="AE572" s="889"/>
      <c r="AF572" s="889"/>
      <c r="AG572" s="889"/>
      <c r="AH572" s="889"/>
      <c r="AI572" s="889"/>
      <c r="AJ572" s="889"/>
      <c r="AK572" s="889"/>
      <c r="AL572" s="889"/>
      <c r="AM572" s="889"/>
      <c r="AN572" s="889"/>
      <c r="AO572" s="889"/>
      <c r="AP572" s="889"/>
      <c r="AQ572" s="889"/>
    </row>
    <row r="573" spans="4:43" ht="33.75" customHeight="1" outlineLevel="1">
      <c r="D573" s="1">
        <v>45</v>
      </c>
      <c r="AB573" s="340" t="s">
        <v>1548</v>
      </c>
      <c r="AC573" s="890" t="s">
        <v>1549</v>
      </c>
      <c r="AD573" s="895"/>
      <c r="AE573" s="895"/>
      <c r="AF573" s="895"/>
      <c r="AG573" s="895"/>
      <c r="AH573" s="895"/>
      <c r="AI573" s="895"/>
      <c r="AJ573" s="895"/>
      <c r="AK573" s="895"/>
      <c r="AL573" s="895"/>
      <c r="AM573" s="895"/>
      <c r="AN573" s="895"/>
      <c r="AO573" s="895"/>
      <c r="AP573" s="895"/>
      <c r="AQ573" s="895"/>
    </row>
    <row r="574" spans="4:43" ht="33.75" customHeight="1" outlineLevel="1">
      <c r="D574" s="1">
        <v>45</v>
      </c>
      <c r="AB574" s="888"/>
      <c r="AC574" s="889"/>
      <c r="AD574" s="889"/>
      <c r="AE574" s="889"/>
      <c r="AF574" s="889"/>
      <c r="AG574" s="889"/>
      <c r="AH574" s="889"/>
      <c r="AI574" s="889"/>
      <c r="AJ574" s="889"/>
      <c r="AK574" s="889"/>
      <c r="AL574" s="889"/>
      <c r="AM574" s="889"/>
      <c r="AN574" s="889"/>
      <c r="AO574" s="889"/>
      <c r="AP574" s="889"/>
      <c r="AQ574" s="889"/>
    </row>
    <row r="575" spans="4:43" ht="33.75" customHeight="1" outlineLevel="1">
      <c r="D575" s="1">
        <v>45</v>
      </c>
      <c r="AB575" s="890"/>
      <c r="AC575" s="895"/>
      <c r="AD575" s="895"/>
      <c r="AE575" s="895"/>
      <c r="AF575" s="895"/>
      <c r="AG575" s="895"/>
      <c r="AH575" s="895"/>
      <c r="AI575" s="895"/>
      <c r="AJ575" s="895"/>
      <c r="AK575" s="895"/>
      <c r="AL575" s="895"/>
      <c r="AM575" s="895"/>
      <c r="AN575" s="895"/>
      <c r="AO575" s="895"/>
      <c r="AP575" s="895"/>
      <c r="AQ575" s="895"/>
    </row>
    <row r="576" spans="4:43" ht="33.75" customHeight="1" outlineLevel="1">
      <c r="D576">
        <v>45</v>
      </c>
      <c r="AB576" s="890"/>
      <c r="AC576" s="890"/>
      <c r="AD576" s="890"/>
      <c r="AE576" s="890"/>
      <c r="AF576" s="890"/>
      <c r="AG576" s="890"/>
      <c r="AH576" s="890"/>
      <c r="AI576" s="890"/>
      <c r="AJ576" s="890"/>
      <c r="AK576" s="890"/>
      <c r="AL576" s="890"/>
      <c r="AM576" s="890"/>
      <c r="AN576" s="890"/>
      <c r="AO576" s="890"/>
      <c r="AP576" s="890"/>
      <c r="AQ576" s="890"/>
    </row>
    <row r="577" spans="4:43" ht="33.75" customHeight="1" outlineLevel="1">
      <c r="D577" s="1">
        <v>45</v>
      </c>
      <c r="AC577" s="313" t="s">
        <v>920</v>
      </c>
      <c r="AD577" s="882" t="s">
        <v>1551</v>
      </c>
      <c r="AE577" s="883"/>
      <c r="AF577" s="884"/>
      <c r="AG577" s="313" t="s">
        <v>619</v>
      </c>
      <c r="AH577" s="341" t="e">
        <f>#REF!</f>
        <v>#REF!</v>
      </c>
    </row>
    <row r="578" spans="4:43" ht="33.75" customHeight="1" outlineLevel="1">
      <c r="D578" s="1">
        <v>45</v>
      </c>
      <c r="AC578" s="313" t="s">
        <v>939</v>
      </c>
      <c r="AD578" s="882" t="str">
        <f>"Подконтрольные расходы план за "&amp;(PRD-3)&amp;" год"</f>
        <v>Подконтрольные расходы план за 2023 год</v>
      </c>
      <c r="AE578" s="883"/>
      <c r="AF578" s="884"/>
      <c r="AG578" s="313" t="s">
        <v>619</v>
      </c>
      <c r="AH578" s="341" t="e">
        <f>#REF!</f>
        <v>#REF!</v>
      </c>
    </row>
    <row r="579" spans="4:43" ht="49.5" customHeight="1" outlineLevel="1">
      <c r="D579" s="1">
        <v>66</v>
      </c>
      <c r="AC579" s="313" t="s">
        <v>930</v>
      </c>
      <c r="AD579" s="882" t="str">
        <f>"Коэффициент индексации подконтрольных расходов факт на "&amp;(PRD-2)&amp;" год"</f>
        <v>Коэффициент индексации подконтрольных расходов факт на 2024 год</v>
      </c>
      <c r="AE579" s="883"/>
      <c r="AF579" s="884"/>
      <c r="AG579" s="313" t="s">
        <v>549</v>
      </c>
      <c r="AH579" s="341" t="e">
        <f>(1-AH581)*(1+AH582)*(1+AH584*AH585)</f>
        <v>#REF!</v>
      </c>
    </row>
    <row r="580" spans="4:43" ht="49.5" customHeight="1" outlineLevel="1">
      <c r="D580" s="1">
        <v>66</v>
      </c>
      <c r="AC580" s="313" t="s">
        <v>931</v>
      </c>
      <c r="AD580" s="882" t="str">
        <f>"Коэффициент индексации подконтрольных расходов план на "&amp;(PRD-2)&amp;" год"</f>
        <v>Коэффициент индексации подконтрольных расходов план на 2024 год</v>
      </c>
      <c r="AE580" s="883"/>
      <c r="AF580" s="884"/>
      <c r="AG580" s="313" t="s">
        <v>549</v>
      </c>
      <c r="AH580" s="341" t="e">
        <f>(1-AH581)*(1+AH583)*(1+AH584*AH588)</f>
        <v>#REF!</v>
      </c>
    </row>
    <row r="581" spans="4:43" ht="21.75" customHeight="1" outlineLevel="1">
      <c r="D581" s="1">
        <v>29</v>
      </c>
      <c r="AC581" s="313" t="s">
        <v>932</v>
      </c>
      <c r="AD581" s="882" t="s">
        <v>1552</v>
      </c>
      <c r="AE581" s="883"/>
      <c r="AF581" s="884"/>
      <c r="AG581" s="313" t="s">
        <v>633</v>
      </c>
      <c r="AH581" s="342" t="e">
        <f>#REF!</f>
        <v>#REF!</v>
      </c>
    </row>
    <row r="582" spans="4:43" ht="21.75" customHeight="1" outlineLevel="1">
      <c r="D582" s="1">
        <v>29</v>
      </c>
      <c r="AC582" s="313" t="s">
        <v>1553</v>
      </c>
      <c r="AD582" s="882" t="str">
        <f>"ИПЦ факт на "&amp;(PRD-2)&amp;" год"</f>
        <v>ИПЦ факт на 2024 год</v>
      </c>
      <c r="AE582" s="883"/>
      <c r="AF582" s="884"/>
      <c r="AG582" s="313" t="s">
        <v>633</v>
      </c>
      <c r="AH582" s="342" t="e">
        <f>#REF!</f>
        <v>#REF!</v>
      </c>
    </row>
    <row r="583" spans="4:43" ht="21.75" customHeight="1" outlineLevel="1">
      <c r="D583" s="1">
        <v>29</v>
      </c>
      <c r="AC583" s="313" t="s">
        <v>1554</v>
      </c>
      <c r="AD583" s="882" t="str">
        <f>"ИПЦ план на "&amp;(PRD-2)&amp;" год"</f>
        <v>ИПЦ план на 2024 год</v>
      </c>
      <c r="AE583" s="883"/>
      <c r="AF583" s="884"/>
      <c r="AG583" s="313" t="s">
        <v>633</v>
      </c>
      <c r="AH583" s="342" t="e">
        <f>#REF!</f>
        <v>#REF!</v>
      </c>
    </row>
    <row r="584" spans="4:43" ht="21.75" customHeight="1" outlineLevel="1">
      <c r="D584" s="1">
        <v>29</v>
      </c>
      <c r="AC584" s="313" t="s">
        <v>1555</v>
      </c>
      <c r="AD584" s="882" t="s">
        <v>1556</v>
      </c>
      <c r="AE584" s="883"/>
      <c r="AF584" s="884"/>
      <c r="AG584" s="313" t="s">
        <v>549</v>
      </c>
      <c r="AH584" s="341">
        <v>0.75</v>
      </c>
    </row>
    <row r="585" spans="4:43" ht="21.75" customHeight="1" outlineLevel="1">
      <c r="D585" s="1">
        <v>29</v>
      </c>
      <c r="AC585" s="313" t="s">
        <v>1557</v>
      </c>
      <c r="AD585" s="882" t="str">
        <f>"ИКА факт на "&amp;(PRD-2)&amp;" год"</f>
        <v>ИКА факт на 2024 год</v>
      </c>
      <c r="AE585" s="883"/>
      <c r="AF585" s="884"/>
      <c r="AG585" s="313" t="s">
        <v>549</v>
      </c>
      <c r="AH585" s="341" t="e">
        <f>IF(AH587=0,0,(AH586-AH587)/AH587)</f>
        <v>#REF!</v>
      </c>
    </row>
    <row r="586" spans="4:43" ht="36" customHeight="1" outlineLevel="1">
      <c r="D586" s="1">
        <v>48</v>
      </c>
      <c r="AC586" s="313" t="s">
        <v>1558</v>
      </c>
      <c r="AD586" s="882" t="str">
        <f>"УЕ среднегодовое количество факт на "&amp;(PRD-2)&amp;" год"</f>
        <v>УЕ среднегодовое количество факт на 2024 год</v>
      </c>
      <c r="AE586" s="883"/>
      <c r="AF586" s="884"/>
      <c r="AG586" s="313" t="s">
        <v>696</v>
      </c>
      <c r="AH586" s="341" t="e">
        <f>#REF!</f>
        <v>#REF!</v>
      </c>
    </row>
    <row r="587" spans="4:43" ht="36" customHeight="1" outlineLevel="1">
      <c r="D587" s="1">
        <v>48</v>
      </c>
      <c r="AC587" s="313" t="s">
        <v>1559</v>
      </c>
      <c r="AD587" s="882" t="str">
        <f>"УЕ среднегодовое количество факт на "&amp;(PRD-3)&amp;" год"</f>
        <v>УЕ среднегодовое количество факт на 2023 год</v>
      </c>
      <c r="AE587" s="883"/>
      <c r="AF587" s="884"/>
      <c r="AG587" s="313" t="s">
        <v>696</v>
      </c>
      <c r="AH587" s="341" t="e">
        <f>IF(GOD_BAZUR_REG=PRD-3,#REF!,#REF!)</f>
        <v>#REF!</v>
      </c>
    </row>
    <row r="588" spans="4:43" ht="21.75" customHeight="1" outlineLevel="1">
      <c r="D588" s="1">
        <v>29</v>
      </c>
      <c r="AC588" s="313" t="s">
        <v>1560</v>
      </c>
      <c r="AD588" s="882" t="str">
        <f>"ИКА план на "&amp;(PRD-2)&amp;" год"</f>
        <v>ИКА план на 2024 год</v>
      </c>
      <c r="AE588" s="883"/>
      <c r="AF588" s="884"/>
      <c r="AG588" s="313" t="s">
        <v>549</v>
      </c>
      <c r="AH588" s="341" t="e">
        <f>#REF!</f>
        <v>#REF!</v>
      </c>
    </row>
    <row r="589" spans="4:43" ht="36" customHeight="1" outlineLevel="1">
      <c r="D589" s="1">
        <v>48</v>
      </c>
      <c r="AC589" s="313" t="s">
        <v>1561</v>
      </c>
      <c r="AD589" s="882" t="str">
        <f>"УЕ среднегодовое количество план на "&amp;(PRD-2)&amp;" год"</f>
        <v>УЕ среднегодовое количество план на 2024 год</v>
      </c>
      <c r="AE589" s="883"/>
      <c r="AF589" s="884"/>
      <c r="AG589" s="313" t="s">
        <v>696</v>
      </c>
      <c r="AH589" s="341" t="e">
        <f>#REF!</f>
        <v>#REF!</v>
      </c>
    </row>
    <row r="590" spans="4:43" ht="36" customHeight="1" outlineLevel="1">
      <c r="D590" s="1">
        <v>48</v>
      </c>
      <c r="AC590" s="313" t="s">
        <v>1562</v>
      </c>
      <c r="AD590" s="882" t="str">
        <f>"УЕ среднегодовое количество план на "&amp;(PRD-3)&amp;" год"</f>
        <v>УЕ среднегодовое количество план на 2023 год</v>
      </c>
      <c r="AE590" s="883"/>
      <c r="AF590" s="884"/>
      <c r="AG590" s="313" t="s">
        <v>696</v>
      </c>
      <c r="AH590" s="341" t="e">
        <f>#REF!</f>
        <v>#REF!</v>
      </c>
    </row>
    <row r="591" spans="4:43" ht="33.75" customHeight="1" outlineLevel="1">
      <c r="D591" s="1">
        <v>45</v>
      </c>
    </row>
    <row r="592" spans="4:43" ht="33.75" customHeight="1" outlineLevel="1">
      <c r="D592" s="1">
        <v>45</v>
      </c>
      <c r="AB592" s="892" t="s">
        <v>1563</v>
      </c>
      <c r="AC592" s="781"/>
      <c r="AD592" s="781"/>
      <c r="AE592" s="781"/>
      <c r="AF592" s="781"/>
      <c r="AG592" s="781"/>
      <c r="AH592" s="781"/>
      <c r="AI592" s="781"/>
      <c r="AJ592" s="781"/>
      <c r="AK592" s="781"/>
      <c r="AL592" s="781"/>
      <c r="AM592" s="781"/>
      <c r="AN592" s="781"/>
      <c r="AO592" s="781"/>
      <c r="AP592" s="781"/>
      <c r="AQ592" s="781"/>
    </row>
    <row r="593" spans="4:43" ht="33.75" customHeight="1" outlineLevel="1">
      <c r="D593" s="1">
        <v>45</v>
      </c>
      <c r="AB593" s="340" t="s">
        <v>1564</v>
      </c>
      <c r="AC593" s="890" t="s">
        <v>1565</v>
      </c>
      <c r="AD593" s="890"/>
      <c r="AE593" s="890"/>
      <c r="AF593" s="890"/>
      <c r="AG593" s="890"/>
      <c r="AH593" s="890"/>
      <c r="AI593" s="890"/>
      <c r="AJ593" s="890"/>
      <c r="AK593" s="890"/>
      <c r="AL593" s="890"/>
      <c r="AM593" s="890"/>
      <c r="AN593" s="890"/>
      <c r="AO593" s="890"/>
      <c r="AP593" s="890"/>
      <c r="AQ593" s="890"/>
    </row>
    <row r="594" spans="4:43" ht="21.75" customHeight="1" outlineLevel="1">
      <c r="D594" s="1">
        <v>29</v>
      </c>
      <c r="AB594" s="896" t="s">
        <v>1566</v>
      </c>
      <c r="AC594" s="896"/>
      <c r="AD594" s="896"/>
      <c r="AE594" s="896"/>
      <c r="AF594" s="896"/>
      <c r="AG594" s="896"/>
      <c r="AH594" s="896"/>
      <c r="AI594" s="896"/>
      <c r="AJ594" s="896"/>
      <c r="AK594" s="896"/>
      <c r="AL594" s="896"/>
      <c r="AM594" s="896"/>
      <c r="AN594" s="896"/>
      <c r="AO594" s="896"/>
      <c r="AP594" s="896"/>
      <c r="AQ594" s="896"/>
    </row>
    <row r="595" spans="4:43" ht="33.75" customHeight="1" outlineLevel="1">
      <c r="D595" s="1">
        <v>45</v>
      </c>
      <c r="AB595" s="896" t="str">
        <f>"Расчёт компенсации неподконтрольных расходов в соответствии с методическими указаниями определяется как разница между фактическими неподконтрольными расходами за "&amp;PRD-2&amp;" год и утверждёнными неподконтрольными расходами на "&amp;PRD-2&amp;" год."</f>
        <v>Расчёт компенсации неподконтрольных расходов в соответствии с методическими указаниями определяется как разница между фактическими неподконтрольными расходами за 2024 год и утверждёнными неподконтрольными расходами на 2024 год.</v>
      </c>
      <c r="AC595" s="896"/>
      <c r="AD595" s="896"/>
      <c r="AE595" s="896"/>
      <c r="AF595" s="896"/>
      <c r="AG595" s="896"/>
      <c r="AH595" s="896"/>
      <c r="AI595" s="896"/>
      <c r="AJ595" s="896"/>
      <c r="AK595" s="896"/>
      <c r="AL595" s="896"/>
      <c r="AM595" s="896"/>
      <c r="AN595" s="896"/>
      <c r="AO595" s="896"/>
      <c r="AP595" s="896"/>
      <c r="AQ595" s="896"/>
    </row>
    <row r="596" spans="4:43" ht="33.75" customHeight="1" outlineLevel="1">
      <c r="D596" s="1">
        <v>45</v>
      </c>
      <c r="AB596" s="896" t="str">
        <f>"Экспертами проведён анализ по каждой статье неподконтрольных расходов за "&amp;PRD-2&amp;" год и определены суммы фактических расходов за "&amp;PRD-2&amp;" год по каждой статье неподконтрольных расходов. Все сведения о фактических неподконтрольных расходах по расчёту экспертов представлены выше подразделе «Расчёт неподконтрольных расходов» раздела 3."</f>
        <v>Экспертами проведён анализ по каждой статье неподконтрольных расходов за 2024 год и определены суммы фактических расходов за 2024 год по каждой статье неподконтрольных расходов. Все сведения о фактических неподконтрольных расходах по расчёту экспертов представлены выше подразделе «Расчёт неподконтрольных расходов» раздела 3.</v>
      </c>
      <c r="AC596" s="896"/>
      <c r="AD596" s="896"/>
      <c r="AE596" s="896"/>
      <c r="AF596" s="896"/>
      <c r="AG596" s="896"/>
      <c r="AH596" s="896"/>
      <c r="AI596" s="896"/>
      <c r="AJ596" s="896"/>
      <c r="AK596" s="896"/>
      <c r="AL596" s="896"/>
      <c r="AM596" s="896"/>
      <c r="AN596" s="896"/>
      <c r="AO596" s="896"/>
      <c r="AP596" s="896"/>
      <c r="AQ596" s="896"/>
    </row>
    <row r="597" spans="4:43" ht="33.75" customHeight="1" outlineLevel="1">
      <c r="D597" s="1">
        <v>45</v>
      </c>
      <c r="AB597" s="888" t="s">
        <v>1275</v>
      </c>
      <c r="AC597" s="889"/>
      <c r="AD597" s="889"/>
      <c r="AE597" s="889"/>
      <c r="AF597" s="889"/>
      <c r="AG597" s="889"/>
      <c r="AH597" s="889"/>
      <c r="AI597" s="889"/>
      <c r="AJ597" s="889"/>
      <c r="AK597" s="889"/>
      <c r="AL597" s="889"/>
      <c r="AM597" s="889"/>
      <c r="AN597" s="889"/>
      <c r="AO597" s="889"/>
      <c r="AP597" s="889"/>
      <c r="AQ597" s="889"/>
    </row>
    <row r="598" spans="4:43" ht="33.75" customHeight="1" outlineLevel="1">
      <c r="D598" s="1">
        <v>45</v>
      </c>
      <c r="AB598" s="781"/>
      <c r="AC598" s="781"/>
      <c r="AD598" s="781"/>
      <c r="AE598" s="781"/>
      <c r="AF598" s="781"/>
      <c r="AG598" s="781"/>
      <c r="AH598" s="781"/>
      <c r="AI598" s="781"/>
      <c r="AJ598" s="781"/>
      <c r="AK598" s="781"/>
      <c r="AL598" s="781"/>
      <c r="AM598" s="781"/>
      <c r="AN598" s="781"/>
      <c r="AO598" s="781"/>
      <c r="AP598" s="781"/>
      <c r="AQ598" s="781"/>
    </row>
    <row r="599" spans="4:43" ht="54" customHeight="1" outlineLevel="1">
      <c r="D599" s="1">
        <v>72</v>
      </c>
      <c r="AC599" s="954"/>
      <c r="AD599" s="954"/>
      <c r="AE599" s="954"/>
      <c r="AF599" s="954"/>
      <c r="AG599" s="954"/>
      <c r="AH599" s="954"/>
      <c r="AI599" s="294" t="str">
        <f>PRD-2&amp;" утверждено"</f>
        <v>2024 утверждено</v>
      </c>
      <c r="AJ599" s="294" t="str">
        <f>PRD-2&amp;" факт ТСО"</f>
        <v>2024 факт ТСО</v>
      </c>
      <c r="AK599" s="343" t="str">
        <f>PRD-2&amp;" факт версия регулятора"</f>
        <v>2024 факт версия регулятора</v>
      </c>
      <c r="AL599" s="294" t="s">
        <v>277</v>
      </c>
    </row>
    <row r="600" spans="4:43" ht="23.25" customHeight="1" outlineLevel="1">
      <c r="D600" s="1">
        <v>31</v>
      </c>
      <c r="AC600" s="295" t="s">
        <v>632</v>
      </c>
      <c r="AD600" s="891" t="s">
        <v>986</v>
      </c>
      <c r="AE600" s="891"/>
      <c r="AF600" s="891"/>
      <c r="AG600" s="891"/>
      <c r="AH600" s="295" t="s">
        <v>619</v>
      </c>
      <c r="AI600" s="299" t="e">
        <f>#REF!</f>
        <v>#REF!</v>
      </c>
      <c r="AJ600" s="344" t="e">
        <f>#REF!</f>
        <v>#REF!</v>
      </c>
      <c r="AK600" s="299" t="e">
        <f>#REF!</f>
        <v>#REF!</v>
      </c>
      <c r="AL600" s="299" t="e">
        <f t="shared" ref="AL600:AL612" si="5">AK600-AI600</f>
        <v>#REF!</v>
      </c>
    </row>
    <row r="601" spans="4:43" ht="33.75" customHeight="1" outlineLevel="1">
      <c r="D601" s="1">
        <v>45</v>
      </c>
      <c r="AC601" s="295" t="s">
        <v>762</v>
      </c>
      <c r="AD601" s="891" t="s">
        <v>990</v>
      </c>
      <c r="AE601" s="891"/>
      <c r="AF601" s="891"/>
      <c r="AG601" s="891"/>
      <c r="AH601" s="295" t="s">
        <v>619</v>
      </c>
      <c r="AI601" s="299" t="e">
        <f>#REF!</f>
        <v>#REF!</v>
      </c>
      <c r="AJ601" s="344" t="e">
        <f>#REF!</f>
        <v>#REF!</v>
      </c>
      <c r="AK601" s="299" t="e">
        <f>#REF!</f>
        <v>#REF!</v>
      </c>
      <c r="AL601" s="299" t="e">
        <f t="shared" si="5"/>
        <v>#REF!</v>
      </c>
    </row>
    <row r="602" spans="4:43" ht="21" customHeight="1" outlineLevel="1">
      <c r="D602" s="1">
        <v>28</v>
      </c>
      <c r="AC602" s="295" t="s">
        <v>935</v>
      </c>
      <c r="AD602" s="891" t="s">
        <v>991</v>
      </c>
      <c r="AE602" s="891"/>
      <c r="AF602" s="891"/>
      <c r="AG602" s="891"/>
      <c r="AH602" s="295" t="s">
        <v>619</v>
      </c>
      <c r="AI602" s="299" t="e">
        <f>#REF!</f>
        <v>#REF!</v>
      </c>
      <c r="AJ602" s="344" t="e">
        <f>#REF!</f>
        <v>#REF!</v>
      </c>
      <c r="AK602" s="299" t="e">
        <f>#REF!</f>
        <v>#REF!</v>
      </c>
      <c r="AL602" s="299" t="e">
        <f t="shared" si="5"/>
        <v>#REF!</v>
      </c>
    </row>
    <row r="603" spans="4:43" ht="21" customHeight="1" outlineLevel="1">
      <c r="D603" s="1">
        <v>28</v>
      </c>
      <c r="AC603" s="295" t="s">
        <v>936</v>
      </c>
      <c r="AD603" s="891" t="s">
        <v>1567</v>
      </c>
      <c r="AE603" s="891"/>
      <c r="AF603" s="891"/>
      <c r="AG603" s="891"/>
      <c r="AH603" s="295" t="s">
        <v>619</v>
      </c>
      <c r="AI603" s="299" t="e">
        <f>#REF!-#REF!</f>
        <v>#REF!</v>
      </c>
      <c r="AJ603" s="344" t="e">
        <f>#REF!-#REF!</f>
        <v>#REF!</v>
      </c>
      <c r="AK603" s="299" t="e">
        <f>#REF!-#REF!</f>
        <v>#REF!</v>
      </c>
      <c r="AL603" s="299" t="e">
        <f t="shared" si="5"/>
        <v>#REF!</v>
      </c>
    </row>
    <row r="604" spans="4:43" ht="21" customHeight="1" outlineLevel="1">
      <c r="D604" s="1">
        <v>28</v>
      </c>
      <c r="AC604" s="295" t="s">
        <v>763</v>
      </c>
      <c r="AD604" s="891" t="s">
        <v>993</v>
      </c>
      <c r="AE604" s="891"/>
      <c r="AF604" s="891"/>
      <c r="AG604" s="891"/>
      <c r="AH604" s="295" t="s">
        <v>619</v>
      </c>
      <c r="AI604" s="395" t="e">
        <f>#REF!</f>
        <v>#REF!</v>
      </c>
      <c r="AJ604" s="344" t="e">
        <f>#REF!</f>
        <v>#REF!</v>
      </c>
      <c r="AK604" s="299" t="e">
        <f>#REF!</f>
        <v>#REF!</v>
      </c>
      <c r="AL604" s="299" t="e">
        <f t="shared" si="5"/>
        <v>#REF!</v>
      </c>
    </row>
    <row r="605" spans="4:43" ht="21" customHeight="1" outlineLevel="1">
      <c r="D605" s="1">
        <v>28</v>
      </c>
      <c r="AC605" s="295" t="s">
        <v>765</v>
      </c>
      <c r="AD605" s="891" t="s">
        <v>576</v>
      </c>
      <c r="AE605" s="891"/>
      <c r="AF605" s="891"/>
      <c r="AG605" s="891"/>
      <c r="AH605" s="295" t="s">
        <v>619</v>
      </c>
      <c r="AI605" s="299" t="e">
        <f>#REF!</f>
        <v>#REF!</v>
      </c>
      <c r="AJ605" s="344" t="e">
        <f>#REF!</f>
        <v>#REF!</v>
      </c>
      <c r="AK605" s="299" t="e">
        <f>#REF!</f>
        <v>#REF!</v>
      </c>
      <c r="AL605" s="299" t="e">
        <f t="shared" si="5"/>
        <v>#REF!</v>
      </c>
    </row>
    <row r="606" spans="4:43" ht="21" customHeight="1" outlineLevel="1">
      <c r="D606" s="1">
        <v>28</v>
      </c>
      <c r="AC606" s="295" t="s">
        <v>770</v>
      </c>
      <c r="AD606" s="891" t="s">
        <v>1568</v>
      </c>
      <c r="AE606" s="891"/>
      <c r="AF606" s="891"/>
      <c r="AG606" s="891"/>
      <c r="AH606" s="295" t="s">
        <v>619</v>
      </c>
      <c r="AI606" s="299" t="e">
        <f>#REF!-#REF!</f>
        <v>#REF!</v>
      </c>
      <c r="AJ606" s="344" t="e">
        <f>#REF!-#REF!</f>
        <v>#REF!</v>
      </c>
      <c r="AK606" s="299" t="e">
        <f>#REF!-#REF!</f>
        <v>#REF!</v>
      </c>
      <c r="AL606" s="299" t="e">
        <f t="shared" si="5"/>
        <v>#REF!</v>
      </c>
    </row>
    <row r="607" spans="4:43" ht="21" customHeight="1" outlineLevel="1">
      <c r="D607" s="1">
        <v>28</v>
      </c>
      <c r="AC607" s="295" t="s">
        <v>907</v>
      </c>
      <c r="AD607" s="891" t="s">
        <v>999</v>
      </c>
      <c r="AE607" s="891"/>
      <c r="AF607" s="891"/>
      <c r="AG607" s="891"/>
      <c r="AH607" s="295" t="s">
        <v>619</v>
      </c>
      <c r="AI607" s="299" t="e">
        <f>#REF!</f>
        <v>#REF!</v>
      </c>
      <c r="AJ607" s="344" t="e">
        <f>#REF!</f>
        <v>#REF!</v>
      </c>
      <c r="AK607" s="299" t="e">
        <f>#REF!</f>
        <v>#REF!</v>
      </c>
      <c r="AL607" s="299" t="e">
        <f t="shared" si="5"/>
        <v>#REF!</v>
      </c>
    </row>
    <row r="608" spans="4:43" ht="18" customHeight="1" outlineLevel="1">
      <c r="D608" s="1">
        <v>24</v>
      </c>
      <c r="AC608" s="295" t="s">
        <v>908</v>
      </c>
      <c r="AD608" s="891" t="s">
        <v>1569</v>
      </c>
      <c r="AE608" s="891"/>
      <c r="AF608" s="891"/>
      <c r="AG608" s="891"/>
      <c r="AH608" s="295" t="s">
        <v>619</v>
      </c>
      <c r="AI608" s="299" t="e">
        <f>#REF!</f>
        <v>#REF!</v>
      </c>
      <c r="AJ608" s="344" t="e">
        <f>#REF!</f>
        <v>#REF!</v>
      </c>
      <c r="AK608" s="299" t="e">
        <f>#REF!</f>
        <v>#REF!</v>
      </c>
      <c r="AL608" s="299" t="e">
        <f t="shared" si="5"/>
        <v>#REF!</v>
      </c>
    </row>
    <row r="609" spans="4:43" ht="18" customHeight="1" outlineLevel="1">
      <c r="D609" s="1">
        <v>24</v>
      </c>
      <c r="AC609" s="295" t="s">
        <v>909</v>
      </c>
      <c r="AD609" s="891" t="s">
        <v>1000</v>
      </c>
      <c r="AE609" s="891"/>
      <c r="AF609" s="891"/>
      <c r="AG609" s="891"/>
      <c r="AH609" s="295" t="s">
        <v>619</v>
      </c>
      <c r="AI609" s="299" t="e">
        <f>#REF!</f>
        <v>#REF!</v>
      </c>
      <c r="AJ609" s="344" t="e">
        <f>#REF!</f>
        <v>#REF!</v>
      </c>
      <c r="AK609" s="299" t="e">
        <f>#REF!</f>
        <v>#REF!</v>
      </c>
      <c r="AL609" s="299" t="e">
        <f t="shared" si="5"/>
        <v>#REF!</v>
      </c>
    </row>
    <row r="610" spans="4:43" ht="27" customHeight="1" outlineLevel="1">
      <c r="D610" s="1">
        <v>36</v>
      </c>
      <c r="AC610" s="295" t="s">
        <v>910</v>
      </c>
      <c r="AD610" s="891" t="s">
        <v>1002</v>
      </c>
      <c r="AE610" s="891"/>
      <c r="AF610" s="891"/>
      <c r="AG610" s="891"/>
      <c r="AH610" s="295" t="s">
        <v>619</v>
      </c>
      <c r="AI610" s="299" t="e">
        <f>#REF!</f>
        <v>#REF!</v>
      </c>
      <c r="AJ610" s="344" t="e">
        <f>#REF!</f>
        <v>#REF!</v>
      </c>
      <c r="AK610" s="299" t="e">
        <f>#REF!</f>
        <v>#REF!</v>
      </c>
      <c r="AL610" s="299" t="e">
        <f t="shared" si="5"/>
        <v>#REF!</v>
      </c>
    </row>
    <row r="611" spans="4:43" ht="13.5" customHeight="1" outlineLevel="1">
      <c r="D611" s="1">
        <v>18</v>
      </c>
      <c r="AC611" s="295" t="s">
        <v>982</v>
      </c>
      <c r="AD611" s="891" t="s">
        <v>577</v>
      </c>
      <c r="AE611" s="891"/>
      <c r="AF611" s="891"/>
      <c r="AG611" s="891"/>
      <c r="AH611" s="295" t="s">
        <v>619</v>
      </c>
      <c r="AI611" s="299" t="e">
        <f>#REF!</f>
        <v>#REF!</v>
      </c>
      <c r="AJ611" s="344" t="e">
        <f>#REF!</f>
        <v>#REF!</v>
      </c>
      <c r="AK611" s="299" t="e">
        <f>#REF!</f>
        <v>#REF!</v>
      </c>
      <c r="AL611" s="299" t="e">
        <f t="shared" si="5"/>
        <v>#REF!</v>
      </c>
    </row>
    <row r="612" spans="4:43" ht="27" customHeight="1" outlineLevel="1">
      <c r="D612" s="1">
        <v>36</v>
      </c>
      <c r="AC612" s="295" t="s">
        <v>983</v>
      </c>
      <c r="AD612" s="891" t="s">
        <v>1024</v>
      </c>
      <c r="AE612" s="891"/>
      <c r="AF612" s="891"/>
      <c r="AG612" s="891"/>
      <c r="AH612" s="295" t="s">
        <v>619</v>
      </c>
      <c r="AI612" s="299" t="e">
        <f>#REF!</f>
        <v>#REF!</v>
      </c>
      <c r="AJ612" s="344" t="e">
        <f>#REF!</f>
        <v>#REF!</v>
      </c>
      <c r="AK612" s="299" t="e">
        <f>#REF!</f>
        <v>#REF!</v>
      </c>
      <c r="AL612" s="299" t="e">
        <f t="shared" si="5"/>
        <v>#REF!</v>
      </c>
    </row>
    <row r="613" spans="4:43" ht="13.5" customHeight="1" outlineLevel="1">
      <c r="D613" s="1">
        <v>18</v>
      </c>
      <c r="AC613" s="295"/>
      <c r="AD613" s="897" t="s">
        <v>898</v>
      </c>
      <c r="AE613" s="897"/>
      <c r="AF613" s="897"/>
      <c r="AG613" s="897"/>
      <c r="AH613" s="297" t="s">
        <v>619</v>
      </c>
      <c r="AI613" s="345" t="e">
        <f>AI600+AI601+AI602+AI604+AI605+AI606+AI607+AI608+AI609+AI610+AI611+AI612</f>
        <v>#REF!</v>
      </c>
      <c r="AJ613" s="345" t="e">
        <f>AJ600+AJ601+AJ602+AJ604+AJ605+AJ606+AJ607+AJ608+AJ609+AJ610+AJ611+AJ612</f>
        <v>#REF!</v>
      </c>
      <c r="AK613" s="346" t="e">
        <f>AK600+AK601+AK602+AK604+AK605+AK606+AK607+AK608+AK609+AK610+AK611+AK612</f>
        <v>#REF!</v>
      </c>
      <c r="AL613" s="345" t="e">
        <f>AL600+AL601+AL602+AL604+AL605+AL606+AL607+AL608+AL609+AL610+AL611+AL612</f>
        <v>#REF!</v>
      </c>
    </row>
    <row r="614" spans="4:43" ht="13.5" customHeight="1" outlineLevel="1">
      <c r="D614" s="1">
        <v>18</v>
      </c>
    </row>
    <row r="615" spans="4:43" ht="13.5" customHeight="1" outlineLevel="1">
      <c r="D615">
        <v>18</v>
      </c>
    </row>
    <row r="616" spans="4:43" ht="23.25" customHeight="1" outlineLevel="1">
      <c r="D616" s="1">
        <v>31</v>
      </c>
      <c r="AB616" s="892" t="s">
        <v>1570</v>
      </c>
      <c r="AC616" s="781"/>
      <c r="AD616" s="781"/>
      <c r="AE616" s="781"/>
      <c r="AF616" s="781"/>
      <c r="AG616" s="781"/>
      <c r="AH616" s="781"/>
      <c r="AI616" s="781"/>
      <c r="AJ616" s="781"/>
      <c r="AK616" s="781"/>
      <c r="AL616" s="781"/>
      <c r="AM616" s="781"/>
      <c r="AN616" s="781"/>
      <c r="AO616" s="781"/>
      <c r="AP616" s="781"/>
      <c r="AQ616" s="781"/>
    </row>
    <row r="617" spans="4:43" ht="33.75" customHeight="1" outlineLevel="1">
      <c r="D617" s="1">
        <v>45</v>
      </c>
      <c r="AB617" s="340" t="s">
        <v>1571</v>
      </c>
      <c r="AC617" s="890" t="s">
        <v>1572</v>
      </c>
      <c r="AD617" s="890"/>
      <c r="AE617" s="890"/>
      <c r="AF617" s="890"/>
      <c r="AG617" s="890"/>
      <c r="AH617" s="890"/>
      <c r="AI617" s="890"/>
      <c r="AJ617" s="890"/>
      <c r="AK617" s="890"/>
      <c r="AL617" s="890"/>
      <c r="AM617" s="890"/>
      <c r="AN617" s="890"/>
      <c r="AO617" s="890"/>
      <c r="AP617" s="890"/>
      <c r="AQ617" s="890"/>
    </row>
    <row r="618" spans="4:43" ht="48" customHeight="1" outlineLevel="1">
      <c r="D618" s="1">
        <v>64</v>
      </c>
      <c r="AB618" s="892" t="s">
        <v>1573</v>
      </c>
      <c r="AC618" s="781"/>
      <c r="AD618" s="781"/>
      <c r="AE618" s="781"/>
      <c r="AF618" s="781"/>
      <c r="AG618" s="781"/>
      <c r="AH618" s="781"/>
      <c r="AI618" s="781"/>
      <c r="AJ618" s="781"/>
      <c r="AK618" s="781"/>
      <c r="AL618" s="781"/>
      <c r="AM618" s="781"/>
      <c r="AN618" s="781"/>
      <c r="AO618" s="781"/>
      <c r="AP618" s="781"/>
      <c r="AQ618" s="781"/>
    </row>
    <row r="619" spans="4:43" ht="33.75" customHeight="1" outlineLevel="1">
      <c r="D619" s="1">
        <v>45</v>
      </c>
      <c r="AB619" s="888" t="s">
        <v>1574</v>
      </c>
      <c r="AC619" s="889"/>
      <c r="AD619" s="889"/>
      <c r="AE619" s="889"/>
      <c r="AF619" s="889"/>
      <c r="AG619" s="889"/>
      <c r="AH619" s="889"/>
      <c r="AI619" s="889"/>
      <c r="AJ619" s="889"/>
      <c r="AK619" s="889"/>
      <c r="AL619" s="889"/>
      <c r="AM619" s="889"/>
      <c r="AN619" s="889"/>
      <c r="AO619" s="889"/>
      <c r="AP619" s="889"/>
      <c r="AQ619" s="889"/>
    </row>
    <row r="620" spans="4:43" ht="63" customHeight="1" outlineLevel="1">
      <c r="D620" s="1">
        <v>84</v>
      </c>
      <c r="AC620" s="313" t="s">
        <v>528</v>
      </c>
      <c r="AD620" s="882" t="s">
        <v>1575</v>
      </c>
      <c r="AE620" s="883"/>
      <c r="AF620" s="884"/>
      <c r="AG620" s="313" t="s">
        <v>1576</v>
      </c>
      <c r="AH620" s="341" t="e">
        <f>#REF!</f>
        <v>#REF!</v>
      </c>
    </row>
    <row r="621" spans="4:43" ht="63" customHeight="1" outlineLevel="1">
      <c r="D621" s="1">
        <v>84</v>
      </c>
      <c r="AC621" s="313" t="s">
        <v>530</v>
      </c>
      <c r="AD621" s="882" t="str">
        <f>"НВВ на содержание электрических сетей и на оплату технологического расхода (потерь) электрической энергии, установленная на  "&amp;(PRD-2)&amp;" год"</f>
        <v>НВВ на содержание электрических сетей и на оплату технологического расхода (потерь) электрической энергии, установленная на  2024 год</v>
      </c>
      <c r="AE621" s="883"/>
      <c r="AF621" s="884"/>
      <c r="AG621" s="313" t="s">
        <v>1576</v>
      </c>
      <c r="AH621" s="341" t="e">
        <f>#REF!</f>
        <v>#REF!</v>
      </c>
    </row>
    <row r="622" spans="4:43" ht="131.25" customHeight="1" outlineLevel="1">
      <c r="D622" s="1">
        <v>175</v>
      </c>
      <c r="AC622" s="313" t="s">
        <v>532</v>
      </c>
      <c r="AD622" s="882" t="str">
        <f>"Фактический объем выручки за услуги по передаче электрической энергии (с учетом фактически недополученной выручки по независящим от ТСО причинам), определимый исходя из установленных тарифов на "&amp;PRD-2&amp;" год и фактических объемов оказания услуг"</f>
        <v>Фактический объем выручки за услуги по передаче электрической энергии (с учетом фактически недополученной выручки по независящим от ТСО причинам), определимый исходя из установленных тарифов на 2024 год и фактических объемов оказания услуг</v>
      </c>
      <c r="AE622" s="883"/>
      <c r="AF622" s="884"/>
      <c r="AG622" s="313" t="s">
        <v>1576</v>
      </c>
      <c r="AH622" s="341" t="e">
        <f>#REF!</f>
        <v>#REF!</v>
      </c>
    </row>
    <row r="623" spans="4:43" ht="13.5" customHeight="1" outlineLevel="1">
      <c r="D623" s="1">
        <v>18</v>
      </c>
      <c r="AB623" s="347"/>
      <c r="AC623" s="347"/>
      <c r="AD623" s="347"/>
      <c r="AE623" s="347"/>
      <c r="AF623" s="347"/>
      <c r="AG623" s="347"/>
      <c r="AH623" s="347"/>
      <c r="AI623" s="347"/>
      <c r="AJ623" s="347"/>
      <c r="AK623" s="347"/>
      <c r="AL623" s="347"/>
      <c r="AM623" s="347"/>
      <c r="AN623" s="347"/>
      <c r="AO623" s="347"/>
      <c r="AP623" s="347"/>
      <c r="AQ623" s="347"/>
    </row>
    <row r="624" spans="4:43" ht="13.5" customHeight="1" outlineLevel="1">
      <c r="D624" s="1">
        <v>18</v>
      </c>
      <c r="AB624" s="347"/>
      <c r="AC624" s="347"/>
      <c r="AD624" s="347"/>
      <c r="AE624" s="347"/>
      <c r="AF624" s="347"/>
      <c r="AG624" s="347"/>
      <c r="AH624" s="347"/>
      <c r="AI624" s="347"/>
      <c r="AJ624" s="347"/>
      <c r="AK624" s="347"/>
      <c r="AL624" s="347"/>
      <c r="AM624" s="347"/>
      <c r="AN624" s="347"/>
      <c r="AO624" s="347"/>
      <c r="AP624" s="347"/>
      <c r="AQ624" s="347"/>
    </row>
    <row r="625" spans="4:43" ht="13.5" customHeight="1" outlineLevel="1">
      <c r="D625" s="1">
        <v>18</v>
      </c>
      <c r="AB625" s="347"/>
      <c r="AC625" s="347"/>
      <c r="AD625" s="347"/>
      <c r="AE625" s="347"/>
      <c r="AF625" s="347"/>
      <c r="AG625" s="347"/>
      <c r="AH625" s="347"/>
      <c r="AI625" s="347"/>
      <c r="AJ625" s="347"/>
      <c r="AK625" s="347"/>
      <c r="AL625" s="347"/>
      <c r="AM625" s="347"/>
      <c r="AN625" s="347"/>
      <c r="AO625" s="347"/>
      <c r="AP625" s="347"/>
      <c r="AQ625" s="347"/>
    </row>
    <row r="626" spans="4:43" ht="13.5" customHeight="1" outlineLevel="1">
      <c r="D626" s="1">
        <v>18</v>
      </c>
      <c r="AB626" s="347"/>
      <c r="AC626" s="347"/>
      <c r="AD626" s="347"/>
      <c r="AE626" s="347"/>
      <c r="AF626" s="347"/>
      <c r="AG626" s="347"/>
      <c r="AH626" s="347"/>
      <c r="AI626" s="347"/>
      <c r="AJ626" s="347"/>
      <c r="AK626" s="347"/>
      <c r="AL626" s="347"/>
      <c r="AM626" s="347"/>
      <c r="AN626" s="347"/>
      <c r="AO626" s="347"/>
      <c r="AP626" s="347"/>
      <c r="AQ626" s="347"/>
    </row>
    <row r="627" spans="4:43" ht="13.5" customHeight="1" outlineLevel="1">
      <c r="D627" s="1">
        <v>18</v>
      </c>
      <c r="AB627" s="347"/>
      <c r="AC627" s="347"/>
      <c r="AD627" s="347"/>
      <c r="AE627" s="347"/>
      <c r="AF627" s="347"/>
      <c r="AG627" s="347"/>
      <c r="AH627" s="347"/>
      <c r="AI627" s="347"/>
      <c r="AJ627" s="347"/>
      <c r="AK627" s="347"/>
      <c r="AL627" s="347"/>
      <c r="AM627" s="347"/>
      <c r="AN627" s="347"/>
      <c r="AO627" s="347"/>
      <c r="AP627" s="347"/>
      <c r="AQ627" s="347"/>
    </row>
    <row r="628" spans="4:43" ht="13.5" customHeight="1" outlineLevel="1">
      <c r="D628" s="1">
        <v>18</v>
      </c>
      <c r="AB628" s="347"/>
      <c r="AC628" s="347"/>
      <c r="AD628" s="347"/>
      <c r="AE628" s="347"/>
      <c r="AF628" s="347"/>
      <c r="AG628" s="347"/>
      <c r="AH628" s="347"/>
      <c r="AI628" s="347"/>
      <c r="AJ628" s="347"/>
      <c r="AK628" s="347"/>
      <c r="AL628" s="347"/>
      <c r="AM628" s="347"/>
      <c r="AN628" s="347"/>
      <c r="AO628" s="347"/>
      <c r="AP628" s="347"/>
      <c r="AQ628" s="347"/>
    </row>
    <row r="629" spans="4:43" ht="13.5" customHeight="1" outlineLevel="1">
      <c r="D629" s="1">
        <v>18</v>
      </c>
      <c r="AB629" s="347"/>
      <c r="AC629" s="347"/>
      <c r="AD629" s="347"/>
      <c r="AE629" s="347"/>
      <c r="AF629" s="347"/>
      <c r="AG629" s="347"/>
      <c r="AH629" s="347"/>
      <c r="AI629" s="347"/>
      <c r="AJ629" s="347"/>
      <c r="AK629" s="347"/>
      <c r="AL629" s="347"/>
      <c r="AM629" s="347"/>
      <c r="AN629" s="347"/>
      <c r="AO629" s="347"/>
      <c r="AP629" s="347"/>
      <c r="AQ629" s="347"/>
    </row>
    <row r="630" spans="4:43" ht="13.5" customHeight="1" outlineLevel="1">
      <c r="D630" s="1">
        <v>18</v>
      </c>
      <c r="AB630" s="347"/>
      <c r="AC630" s="347"/>
      <c r="AD630" s="347"/>
      <c r="AE630" s="347"/>
      <c r="AF630" s="347"/>
      <c r="AG630" s="347"/>
      <c r="AH630" s="347"/>
      <c r="AI630" s="347"/>
      <c r="AJ630" s="347"/>
      <c r="AK630" s="347"/>
      <c r="AL630" s="347"/>
      <c r="AM630" s="347"/>
      <c r="AN630" s="347"/>
      <c r="AO630" s="347"/>
      <c r="AP630" s="347"/>
      <c r="AQ630" s="347"/>
    </row>
    <row r="631" spans="4:43" ht="13.5" customHeight="1" outlineLevel="1">
      <c r="D631" s="1">
        <v>18</v>
      </c>
      <c r="AB631" s="347"/>
      <c r="AC631" s="347"/>
      <c r="AD631" s="347"/>
      <c r="AE631" s="347"/>
      <c r="AF631" s="347"/>
      <c r="AG631" s="347"/>
      <c r="AH631" s="347"/>
      <c r="AI631" s="347"/>
      <c r="AJ631" s="347"/>
      <c r="AK631" s="347"/>
      <c r="AL631" s="347"/>
      <c r="AM631" s="347"/>
      <c r="AN631" s="347"/>
      <c r="AO631" s="347"/>
      <c r="AP631" s="347"/>
      <c r="AQ631" s="347"/>
    </row>
    <row r="632" spans="4:43" ht="13.5" customHeight="1" outlineLevel="1">
      <c r="D632" s="1">
        <v>18</v>
      </c>
      <c r="AB632" s="347"/>
      <c r="AC632" s="347"/>
      <c r="AD632" s="347"/>
      <c r="AE632" s="347"/>
      <c r="AF632" s="347"/>
      <c r="AG632" s="347"/>
      <c r="AH632" s="347"/>
      <c r="AI632" s="347"/>
      <c r="AJ632" s="347"/>
      <c r="AK632" s="347"/>
      <c r="AL632" s="347"/>
      <c r="AM632" s="347"/>
      <c r="AN632" s="347"/>
      <c r="AO632" s="347"/>
      <c r="AP632" s="347"/>
      <c r="AQ632" s="347"/>
    </row>
    <row r="633" spans="4:43" ht="13.5" customHeight="1" outlineLevel="1">
      <c r="D633" s="1">
        <v>18</v>
      </c>
      <c r="AB633" s="347"/>
      <c r="AC633" s="347"/>
      <c r="AD633" s="347"/>
      <c r="AE633" s="347"/>
      <c r="AF633" s="347"/>
      <c r="AG633" s="347"/>
      <c r="AH633" s="347"/>
      <c r="AI633" s="347"/>
      <c r="AJ633" s="347"/>
      <c r="AK633" s="347"/>
      <c r="AL633" s="347"/>
      <c r="AM633" s="347"/>
      <c r="AN633" s="347"/>
      <c r="AO633" s="347"/>
      <c r="AP633" s="347"/>
      <c r="AQ633" s="347"/>
    </row>
    <row r="634" spans="4:43" ht="13.5" customHeight="1" outlineLevel="1">
      <c r="D634" s="1">
        <v>18</v>
      </c>
      <c r="AB634" s="347"/>
      <c r="AC634" s="347"/>
      <c r="AD634" s="347"/>
      <c r="AE634" s="347"/>
      <c r="AF634" s="347"/>
      <c r="AG634" s="347"/>
      <c r="AH634" s="347"/>
      <c r="AI634" s="347"/>
      <c r="AJ634" s="347"/>
      <c r="AK634" s="347"/>
      <c r="AL634" s="347"/>
      <c r="AM634" s="347"/>
      <c r="AN634" s="347"/>
      <c r="AO634" s="347"/>
      <c r="AP634" s="347"/>
      <c r="AQ634" s="347"/>
    </row>
    <row r="635" spans="4:43" ht="13.5" customHeight="1" outlineLevel="1">
      <c r="D635" s="1">
        <v>18</v>
      </c>
      <c r="AB635" s="347"/>
      <c r="AC635" s="347"/>
      <c r="AD635" s="347"/>
      <c r="AE635" s="347"/>
      <c r="AF635" s="347"/>
      <c r="AG635" s="347"/>
      <c r="AH635" s="347"/>
      <c r="AI635" s="347"/>
      <c r="AJ635" s="347"/>
      <c r="AK635" s="347"/>
      <c r="AL635" s="347"/>
      <c r="AM635" s="347"/>
      <c r="AN635" s="347"/>
      <c r="AO635" s="347"/>
      <c r="AP635" s="347"/>
      <c r="AQ635" s="347"/>
    </row>
    <row r="636" spans="4:43" ht="13.5" customHeight="1" outlineLevel="1">
      <c r="D636" s="1">
        <v>18</v>
      </c>
      <c r="AB636" s="347"/>
      <c r="AC636" s="347"/>
      <c r="AD636" s="347"/>
      <c r="AE636" s="347"/>
      <c r="AF636" s="347"/>
      <c r="AG636" s="347"/>
      <c r="AH636" s="347"/>
      <c r="AI636" s="347"/>
      <c r="AJ636" s="347"/>
      <c r="AK636" s="347"/>
      <c r="AL636" s="347"/>
      <c r="AM636" s="347"/>
      <c r="AN636" s="347"/>
      <c r="AO636" s="347"/>
      <c r="AP636" s="347"/>
      <c r="AQ636" s="347"/>
    </row>
    <row r="637" spans="4:43" ht="13.5" customHeight="1" outlineLevel="1">
      <c r="D637" s="1">
        <v>18</v>
      </c>
      <c r="AB637" s="347"/>
      <c r="AC637" s="347"/>
      <c r="AD637" s="347"/>
      <c r="AE637" s="347"/>
      <c r="AF637" s="347"/>
      <c r="AG637" s="347"/>
      <c r="AH637" s="347"/>
      <c r="AI637" s="347"/>
      <c r="AJ637" s="347"/>
      <c r="AK637" s="347"/>
      <c r="AL637" s="347"/>
      <c r="AM637" s="347"/>
      <c r="AN637" s="347"/>
      <c r="AO637" s="347"/>
      <c r="AP637" s="347"/>
      <c r="AQ637" s="347"/>
    </row>
    <row r="638" spans="4:43" ht="13.5" customHeight="1" outlineLevel="1">
      <c r="D638" s="1">
        <v>18</v>
      </c>
      <c r="AB638" s="347"/>
      <c r="AC638" s="347"/>
      <c r="AD638" s="347"/>
      <c r="AE638" s="347"/>
      <c r="AF638" s="347"/>
      <c r="AG638" s="347"/>
      <c r="AH638" s="347"/>
      <c r="AI638" s="347"/>
      <c r="AJ638" s="347"/>
      <c r="AK638" s="347"/>
      <c r="AL638" s="347"/>
      <c r="AM638" s="347"/>
      <c r="AN638" s="347"/>
      <c r="AO638" s="347"/>
      <c r="AP638" s="347"/>
      <c r="AQ638" s="347"/>
    </row>
    <row r="639" spans="4:43" ht="13.5" customHeight="1" outlineLevel="1">
      <c r="D639" s="1">
        <v>18</v>
      </c>
      <c r="AB639" s="347"/>
      <c r="AC639" s="347"/>
      <c r="AD639" s="347"/>
      <c r="AE639" s="347"/>
      <c r="AF639" s="347"/>
      <c r="AG639" s="347"/>
      <c r="AH639" s="347"/>
      <c r="AI639" s="347"/>
      <c r="AJ639" s="347"/>
      <c r="AK639" s="347"/>
      <c r="AL639" s="347"/>
      <c r="AM639" s="347"/>
      <c r="AN639" s="347"/>
      <c r="AO639" s="347"/>
      <c r="AP639" s="347"/>
      <c r="AQ639" s="347"/>
    </row>
    <row r="640" spans="4:43" ht="13.5" customHeight="1" outlineLevel="1">
      <c r="D640">
        <v>18</v>
      </c>
    </row>
    <row r="641" spans="4:43" ht="23.25" customHeight="1" outlineLevel="1">
      <c r="D641" s="1">
        <v>31</v>
      </c>
      <c r="AB641" s="892" t="s">
        <v>1577</v>
      </c>
      <c r="AC641" s="781"/>
      <c r="AD641" s="781"/>
      <c r="AE641" s="781"/>
      <c r="AF641" s="781"/>
      <c r="AG641" s="781"/>
      <c r="AH641" s="781"/>
      <c r="AI641" s="781"/>
      <c r="AJ641" s="781"/>
      <c r="AK641" s="781"/>
      <c r="AL641" s="781"/>
      <c r="AM641" s="781"/>
      <c r="AN641" s="781"/>
      <c r="AO641" s="781"/>
      <c r="AP641" s="781"/>
      <c r="AQ641" s="781"/>
    </row>
    <row r="642" spans="4:43" ht="48" customHeight="1" outlineLevel="1">
      <c r="D642" s="1">
        <v>64</v>
      </c>
      <c r="AB642" s="892" t="s">
        <v>1578</v>
      </c>
      <c r="AC642" s="781"/>
      <c r="AD642" s="781"/>
      <c r="AE642" s="781"/>
      <c r="AF642" s="781"/>
      <c r="AG642" s="781"/>
      <c r="AH642" s="781"/>
      <c r="AI642" s="781"/>
      <c r="AJ642" s="781"/>
      <c r="AK642" s="781"/>
      <c r="AL642" s="781"/>
      <c r="AM642" s="781"/>
      <c r="AN642" s="781"/>
      <c r="AO642" s="781"/>
      <c r="AP642" s="781"/>
      <c r="AQ642" s="781"/>
    </row>
    <row r="643" spans="4:43" ht="23.25" customHeight="1" outlineLevel="1">
      <c r="D643" s="1">
        <v>31</v>
      </c>
      <c r="AB643" s="892" t="s">
        <v>1579</v>
      </c>
      <c r="AC643" s="781"/>
      <c r="AD643" s="781"/>
      <c r="AE643" s="781"/>
      <c r="AF643" s="781"/>
      <c r="AG643" s="781"/>
      <c r="AH643" s="781"/>
      <c r="AI643" s="781"/>
      <c r="AJ643" s="781"/>
      <c r="AK643" s="781"/>
      <c r="AL643" s="781"/>
      <c r="AM643" s="781"/>
      <c r="AN643" s="781"/>
      <c r="AO643" s="781"/>
      <c r="AP643" s="781"/>
      <c r="AQ643" s="781"/>
    </row>
    <row r="644" spans="4:43" ht="33.75" customHeight="1" outlineLevel="2">
      <c r="D644" s="1">
        <v>45</v>
      </c>
      <c r="AB644" s="888" t="s">
        <v>1279</v>
      </c>
      <c r="AC644" s="889"/>
      <c r="AD644" s="889"/>
      <c r="AE644" s="889"/>
      <c r="AF644" s="889"/>
      <c r="AG644" s="889"/>
      <c r="AH644" s="889"/>
      <c r="AI644" s="889"/>
      <c r="AJ644" s="889"/>
      <c r="AK644" s="889"/>
      <c r="AL644" s="889"/>
      <c r="AM644" s="889"/>
      <c r="AN644" s="889"/>
      <c r="AO644" s="889"/>
      <c r="AP644" s="889"/>
      <c r="AQ644" s="889"/>
    </row>
    <row r="645" spans="4:43" ht="23.25" customHeight="1" outlineLevel="1">
      <c r="D645" s="1">
        <v>31</v>
      </c>
      <c r="AB645" s="781"/>
      <c r="AC645" s="781"/>
      <c r="AD645" s="781"/>
      <c r="AE645" s="781"/>
      <c r="AF645" s="781"/>
      <c r="AG645" s="781"/>
      <c r="AH645" s="781"/>
      <c r="AI645" s="781"/>
      <c r="AJ645" s="781"/>
      <c r="AK645" s="781"/>
      <c r="AL645" s="781"/>
      <c r="AM645" s="781"/>
      <c r="AN645" s="781"/>
      <c r="AO645" s="781"/>
      <c r="AP645" s="781"/>
      <c r="AQ645" s="781"/>
    </row>
    <row r="646" spans="4:43" ht="23.25" customHeight="1" outlineLevel="2">
      <c r="D646" s="1">
        <v>31</v>
      </c>
      <c r="AB646" s="888" t="s">
        <v>1280</v>
      </c>
      <c r="AC646" s="889"/>
      <c r="AD646" s="889"/>
      <c r="AE646" s="889"/>
      <c r="AF646" s="889"/>
      <c r="AG646" s="889"/>
      <c r="AH646" s="889"/>
      <c r="AI646" s="889"/>
      <c r="AJ646" s="889"/>
      <c r="AK646" s="889"/>
      <c r="AL646" s="889"/>
      <c r="AM646" s="889"/>
      <c r="AN646" s="889"/>
      <c r="AO646" s="889"/>
      <c r="AP646" s="889"/>
      <c r="AQ646" s="889"/>
    </row>
    <row r="647" spans="4:43" ht="31.5" customHeight="1" outlineLevel="1">
      <c r="D647" s="1">
        <v>42</v>
      </c>
      <c r="AC647" s="313" t="s">
        <v>625</v>
      </c>
      <c r="AD647" s="893" t="s">
        <v>1580</v>
      </c>
      <c r="AE647" s="886"/>
      <c r="AF647" s="887"/>
      <c r="AG647" s="313" t="s">
        <v>619</v>
      </c>
      <c r="AH647" s="341">
        <f>IFERROR(#REF!,0)</f>
        <v>0</v>
      </c>
    </row>
    <row r="648" spans="4:43" ht="33.75" customHeight="1" outlineLevel="1">
      <c r="D648" s="1">
        <v>45</v>
      </c>
      <c r="AC648" s="313" t="s">
        <v>1221</v>
      </c>
      <c r="AD648" s="885" t="str">
        <f>"Фактический объем отпуска э/э в сеть "&amp;PRD-2&amp;" год"</f>
        <v>Фактический объем отпуска э/э в сеть 2024 год</v>
      </c>
      <c r="AE648" s="886"/>
      <c r="AF648" s="887"/>
      <c r="AG648" s="313" t="s">
        <v>916</v>
      </c>
      <c r="AH648" s="341" t="e">
        <f>#REF!</f>
        <v>#REF!</v>
      </c>
    </row>
    <row r="649" spans="4:43" ht="33.75" customHeight="1" outlineLevel="1">
      <c r="D649" s="1">
        <v>45</v>
      </c>
      <c r="AC649" s="313" t="s">
        <v>1222</v>
      </c>
      <c r="AD649" s="885" t="str">
        <f>"Плановый объем отпуска э/э в сеть "&amp;(PRD-2)&amp;" год"</f>
        <v>Плановый объем отпуска э/э в сеть 2024 год</v>
      </c>
      <c r="AE649" s="886"/>
      <c r="AF649" s="887"/>
      <c r="AG649" s="313" t="s">
        <v>916</v>
      </c>
      <c r="AH649" s="341" t="e">
        <f>#REF!</f>
        <v>#REF!</v>
      </c>
    </row>
    <row r="650" spans="4:43" ht="31.5" customHeight="1" outlineLevel="1">
      <c r="D650" s="1">
        <v>42</v>
      </c>
      <c r="AC650" s="313" t="s">
        <v>1230</v>
      </c>
      <c r="AD650" s="885" t="str">
        <f>"Величина фактических потерь "&amp;(PRD-2)&amp;" год"</f>
        <v>Величина фактических потерь 2024 год</v>
      </c>
      <c r="AE650" s="886"/>
      <c r="AF650" s="887"/>
      <c r="AG650" s="313" t="s">
        <v>916</v>
      </c>
      <c r="AH650" s="341" t="e">
        <f>#REF!</f>
        <v>#REF!</v>
      </c>
    </row>
    <row r="651" spans="4:43" ht="29.25" customHeight="1" outlineLevel="1">
      <c r="D651" s="1">
        <v>39</v>
      </c>
      <c r="AC651" s="313" t="s">
        <v>1231</v>
      </c>
      <c r="AD651" s="885" t="str">
        <f>"Фактическая средневзвешенная цена покупки потерь "&amp;(PRD-2)&amp;" год"</f>
        <v>Фактическая средневзвешенная цена покупки потерь 2024 год</v>
      </c>
      <c r="AE651" s="886"/>
      <c r="AF651" s="887"/>
      <c r="AG651" s="313" t="s">
        <v>1581</v>
      </c>
      <c r="AH651" s="341" t="e">
        <f>#REF!</f>
        <v>#REF!</v>
      </c>
    </row>
    <row r="652" spans="4:43" ht="45.75" customHeight="1" outlineLevel="1">
      <c r="D652" s="1">
        <v>61</v>
      </c>
      <c r="AC652" s="313" t="s">
        <v>1232</v>
      </c>
      <c r="AD652" s="885" t="str">
        <f>"Уровень технологического расхода (потерь) э/э (утв.) "&amp;PRD-2&amp;" год"</f>
        <v>Уровень технологического расхода (потерь) э/э (утв.) 2024 год</v>
      </c>
      <c r="AE652" s="886"/>
      <c r="AF652" s="887"/>
      <c r="AG652" s="313" t="s">
        <v>633</v>
      </c>
      <c r="AH652" s="342">
        <f>IFERROR(#REF!,0)</f>
        <v>0</v>
      </c>
    </row>
    <row r="653" spans="4:43" ht="36" customHeight="1" outlineLevel="1">
      <c r="D653" s="1">
        <v>48</v>
      </c>
      <c r="AC653" s="313" t="s">
        <v>1233</v>
      </c>
      <c r="AD653" s="885" t="str">
        <f>"Прогнозная цена покупки потерь "&amp;PRD-2&amp;" год"</f>
        <v>Прогнозная цена покупки потерь 2024 год</v>
      </c>
      <c r="AE653" s="886"/>
      <c r="AF653" s="887"/>
      <c r="AG653" s="313" t="s">
        <v>1581</v>
      </c>
      <c r="AH653" s="341">
        <f>IFERROR(#REF!,0)</f>
        <v>0</v>
      </c>
    </row>
    <row r="654" spans="4:43" ht="33.75" customHeight="1" outlineLevel="1">
      <c r="D654" s="1">
        <v>45</v>
      </c>
      <c r="AC654" s="313" t="s">
        <v>1234</v>
      </c>
      <c r="AD654" s="885" t="s">
        <v>1582</v>
      </c>
      <c r="AE654" s="886"/>
      <c r="AF654" s="887"/>
      <c r="AG654" s="313" t="s">
        <v>633</v>
      </c>
      <c r="AH654" s="342" t="e">
        <f>#REF!</f>
        <v>#REF!</v>
      </c>
    </row>
    <row r="655" spans="4:43" ht="81.75" customHeight="1" outlineLevel="1">
      <c r="D655" s="1">
        <v>109</v>
      </c>
      <c r="AB655" s="890" t="s">
        <v>1583</v>
      </c>
      <c r="AC655" s="890"/>
      <c r="AD655" s="890"/>
      <c r="AE655" s="890"/>
      <c r="AF655" s="890"/>
      <c r="AG655" s="890"/>
      <c r="AH655" s="890"/>
      <c r="AI655" s="890"/>
      <c r="AJ655" s="890"/>
      <c r="AK655" s="890"/>
      <c r="AL655" s="890"/>
      <c r="AM655" s="890"/>
      <c r="AN655" s="890"/>
      <c r="AO655" s="890"/>
      <c r="AP655" s="890"/>
      <c r="AQ655" s="890"/>
    </row>
    <row r="656" spans="4:43" ht="15" customHeight="1" outlineLevel="1">
      <c r="D656" s="1">
        <v>20</v>
      </c>
      <c r="AB656" s="890"/>
      <c r="AC656" s="890"/>
      <c r="AD656" s="890"/>
      <c r="AE656" s="890"/>
      <c r="AF656" s="890"/>
      <c r="AG656" s="890"/>
      <c r="AH656" s="890"/>
      <c r="AI656" s="890"/>
      <c r="AJ656" s="890"/>
      <c r="AK656" s="890"/>
      <c r="AL656" s="890"/>
      <c r="AM656" s="890"/>
      <c r="AN656" s="890"/>
      <c r="AO656" s="890"/>
      <c r="AP656" s="890"/>
      <c r="AQ656" s="890"/>
    </row>
    <row r="657" spans="4:43" ht="33.75" customHeight="1" outlineLevel="1">
      <c r="D657" s="1">
        <v>45</v>
      </c>
      <c r="AB657" s="888" t="s">
        <v>1584</v>
      </c>
      <c r="AC657" s="888"/>
      <c r="AD657" s="888"/>
      <c r="AE657" s="888"/>
      <c r="AF657" s="888"/>
      <c r="AG657" s="888"/>
      <c r="AH657" s="888"/>
      <c r="AI657" s="888"/>
      <c r="AJ657" s="888"/>
      <c r="AK657" s="888"/>
      <c r="AL657" s="888"/>
      <c r="AM657" s="888"/>
      <c r="AN657" s="888"/>
      <c r="AO657" s="888"/>
      <c r="AP657" s="888"/>
      <c r="AQ657" s="888"/>
    </row>
    <row r="658" spans="4:43" ht="15" customHeight="1" outlineLevel="1">
      <c r="D658" s="1">
        <v>20</v>
      </c>
      <c r="AB658" s="890"/>
      <c r="AC658" s="890"/>
      <c r="AD658" s="890"/>
      <c r="AE658" s="890"/>
      <c r="AF658" s="890"/>
      <c r="AG658" s="890"/>
      <c r="AH658" s="890"/>
      <c r="AI658" s="890"/>
      <c r="AJ658" s="890"/>
      <c r="AK658" s="890"/>
      <c r="AL658" s="890"/>
      <c r="AM658" s="890"/>
      <c r="AN658" s="890"/>
      <c r="AO658" s="890"/>
      <c r="AP658" s="890"/>
      <c r="AQ658" s="890"/>
    </row>
    <row r="659" spans="4:43" ht="33.75" customHeight="1" outlineLevel="1">
      <c r="D659" s="1">
        <v>45</v>
      </c>
      <c r="AB659" s="890" t="s">
        <v>1585</v>
      </c>
      <c r="AC659" s="890"/>
      <c r="AD659" s="890"/>
      <c r="AE659" s="890"/>
      <c r="AF659" s="890"/>
      <c r="AG659" s="890"/>
      <c r="AH659" s="890"/>
      <c r="AI659" s="890"/>
      <c r="AJ659" s="890"/>
      <c r="AK659" s="890"/>
      <c r="AL659" s="890"/>
      <c r="AM659" s="890"/>
      <c r="AN659" s="890"/>
      <c r="AO659" s="890"/>
      <c r="AP659" s="890"/>
      <c r="AQ659" s="890"/>
    </row>
    <row r="660" spans="4:43" ht="15" customHeight="1" outlineLevel="1">
      <c r="D660" s="1">
        <v>20</v>
      </c>
      <c r="AB660" s="890"/>
      <c r="AC660" s="890"/>
      <c r="AD660" s="890"/>
      <c r="AE660" s="890"/>
      <c r="AF660" s="890"/>
      <c r="AG660" s="890"/>
      <c r="AH660" s="890"/>
      <c r="AI660" s="890"/>
      <c r="AJ660" s="890"/>
      <c r="AK660" s="890"/>
      <c r="AL660" s="890"/>
      <c r="AM660" s="890"/>
      <c r="AN660" s="890"/>
      <c r="AO660" s="890"/>
      <c r="AP660" s="890"/>
      <c r="AQ660" s="890"/>
    </row>
    <row r="661" spans="4:43" ht="33.75" customHeight="1" outlineLevel="1">
      <c r="D661" s="1">
        <v>45</v>
      </c>
      <c r="AB661" s="888" t="s">
        <v>1586</v>
      </c>
      <c r="AC661" s="888"/>
      <c r="AD661" s="890" t="s">
        <v>1587</v>
      </c>
      <c r="AE661" s="890"/>
      <c r="AF661" s="890"/>
      <c r="AG661" s="890"/>
      <c r="AH661" s="890"/>
      <c r="AI661" s="890"/>
      <c r="AJ661" s="890"/>
      <c r="AK661" s="890"/>
      <c r="AL661" s="890"/>
      <c r="AM661" s="890"/>
      <c r="AN661" s="890"/>
      <c r="AO661" s="890"/>
      <c r="AP661" s="890"/>
      <c r="AQ661" s="890"/>
    </row>
    <row r="662" spans="4:43" ht="33.75" customHeight="1" outlineLevel="1">
      <c r="D662" s="1">
        <v>45</v>
      </c>
      <c r="AB662" s="338"/>
      <c r="AC662" s="890" t="s">
        <v>1588</v>
      </c>
      <c r="AD662" s="890"/>
      <c r="AE662" s="890"/>
      <c r="AF662" s="890"/>
      <c r="AG662" s="890"/>
      <c r="AH662" s="890"/>
      <c r="AI662" s="890"/>
      <c r="AJ662" s="890"/>
      <c r="AK662" s="890"/>
      <c r="AL662" s="890"/>
      <c r="AM662" s="890"/>
      <c r="AN662" s="890"/>
      <c r="AO662" s="890"/>
      <c r="AP662" s="890"/>
      <c r="AQ662" s="890"/>
    </row>
    <row r="663" spans="4:43" ht="15" customHeight="1" outlineLevel="1">
      <c r="D663" s="1">
        <v>20</v>
      </c>
      <c r="AB663" s="890"/>
      <c r="AC663" s="890"/>
      <c r="AD663" s="890"/>
      <c r="AE663" s="890"/>
      <c r="AF663" s="890"/>
      <c r="AG663" s="890"/>
      <c r="AH663" s="890"/>
      <c r="AI663" s="890"/>
      <c r="AJ663" s="890"/>
      <c r="AK663" s="890"/>
      <c r="AL663" s="890"/>
      <c r="AM663" s="890"/>
      <c r="AN663" s="890"/>
      <c r="AO663" s="890"/>
      <c r="AP663" s="890"/>
      <c r="AQ663" s="890"/>
    </row>
    <row r="664" spans="4:43" ht="33.75" customHeight="1" outlineLevel="1">
      <c r="D664" s="1">
        <v>45</v>
      </c>
      <c r="AB664" s="338"/>
      <c r="AC664" s="313" t="s">
        <v>625</v>
      </c>
      <c r="AD664" s="893" t="s">
        <v>1580</v>
      </c>
      <c r="AE664" s="886"/>
      <c r="AF664" s="887"/>
      <c r="AG664" s="313" t="s">
        <v>619</v>
      </c>
      <c r="AH664" s="341" t="e">
        <f>#REF!</f>
        <v>#REF!</v>
      </c>
      <c r="AI664" s="338"/>
      <c r="AJ664" s="338"/>
      <c r="AK664" s="338"/>
      <c r="AL664" s="338"/>
      <c r="AM664" s="338"/>
      <c r="AN664" s="338"/>
      <c r="AO664" s="338"/>
      <c r="AP664" s="338"/>
      <c r="AQ664" s="338"/>
    </row>
    <row r="665" spans="4:43" ht="167.25" customHeight="1" outlineLevel="1">
      <c r="D665" s="1">
        <v>223</v>
      </c>
      <c r="AB665" s="338"/>
      <c r="AC665" s="313" t="s">
        <v>1221</v>
      </c>
      <c r="AD665" s="885" t="str">
        <f>"Плановые расходы, признанные регулирующим органом экономически обоснованными в году "&amp;PRD-2&amp;", на выполнение, предусмотренных пунктом 5 статьи 37 Федерального закона от 26.03.2003 N 35-ФЗ "&amp;"Об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f>
        <v>Плановые расходы, признанные регулирующим органом экономически обоснованными в году 2024, на выполнение, предусмотренных пунктом 5 статьи 37 Федерального закона от 26.03.2003 N 35-ФЗ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v>
      </c>
      <c r="AE665" s="886"/>
      <c r="AF665" s="887"/>
      <c r="AG665" s="313" t="s">
        <v>916</v>
      </c>
      <c r="AH665" s="341" t="e">
        <f>#REF!</f>
        <v>#REF!</v>
      </c>
      <c r="AI665" s="338"/>
      <c r="AJ665" s="338"/>
      <c r="AK665" s="338"/>
      <c r="AL665" s="338"/>
      <c r="AM665" s="338"/>
      <c r="AN665" s="338"/>
      <c r="AO665" s="338"/>
      <c r="AP665" s="338"/>
      <c r="AQ665" s="338"/>
    </row>
    <row r="666" spans="4:43" ht="33.75" customHeight="1" outlineLevel="1">
      <c r="D666" s="1">
        <v>45</v>
      </c>
      <c r="AB666" s="890"/>
      <c r="AC666" s="890"/>
      <c r="AD666" s="890"/>
      <c r="AE666" s="890"/>
      <c r="AF666" s="890"/>
      <c r="AG666" s="890"/>
      <c r="AH666" s="890"/>
      <c r="AI666" s="890"/>
      <c r="AJ666" s="890"/>
      <c r="AK666" s="890"/>
      <c r="AL666" s="890"/>
      <c r="AM666" s="890"/>
      <c r="AN666" s="890"/>
      <c r="AO666" s="890"/>
      <c r="AP666" s="890"/>
      <c r="AQ666" s="890"/>
    </row>
    <row r="667" spans="4:43" ht="33.75" customHeight="1" outlineLevel="1">
      <c r="D667">
        <v>45</v>
      </c>
      <c r="AB667" s="890"/>
      <c r="AC667" s="890"/>
      <c r="AD667" s="890"/>
      <c r="AE667" s="890"/>
      <c r="AF667" s="890"/>
      <c r="AG667" s="890"/>
      <c r="AH667" s="890"/>
      <c r="AI667" s="890"/>
      <c r="AJ667" s="890"/>
      <c r="AK667" s="890"/>
      <c r="AL667" s="890"/>
      <c r="AM667" s="890"/>
      <c r="AN667" s="890"/>
      <c r="AO667" s="890"/>
      <c r="AP667" s="890"/>
      <c r="AQ667" s="890"/>
    </row>
    <row r="668" spans="4:43" ht="23.25" customHeight="1" outlineLevel="1">
      <c r="D668" s="1">
        <v>31</v>
      </c>
      <c r="AB668" s="892" t="s">
        <v>1589</v>
      </c>
      <c r="AC668" s="781"/>
      <c r="AD668" s="781"/>
      <c r="AE668" s="781"/>
      <c r="AF668" s="781"/>
      <c r="AG668" s="781"/>
      <c r="AH668" s="781"/>
      <c r="AI668" s="781"/>
      <c r="AJ668" s="781"/>
      <c r="AK668" s="781"/>
      <c r="AL668" s="781"/>
      <c r="AM668" s="781"/>
      <c r="AN668" s="781"/>
      <c r="AO668" s="781"/>
      <c r="AP668" s="781"/>
      <c r="AQ668" s="781"/>
    </row>
    <row r="669" spans="4:43" ht="13.5" customHeight="1" outlineLevel="1">
      <c r="D669" s="1">
        <v>18</v>
      </c>
    </row>
    <row r="670" spans="4:43" ht="37.5" customHeight="1" outlineLevel="1">
      <c r="D670" s="1">
        <v>50</v>
      </c>
      <c r="AC670" s="348" t="s">
        <v>530</v>
      </c>
      <c r="AD670" s="893" t="s">
        <v>1590</v>
      </c>
      <c r="AE670" s="886"/>
      <c r="AF670" s="887"/>
      <c r="AG670" s="313" t="s">
        <v>619</v>
      </c>
      <c r="AH670" s="341" t="e">
        <f>#REF!</f>
        <v>#REF!</v>
      </c>
    </row>
    <row r="671" spans="4:43" ht="117.75" customHeight="1" outlineLevel="1">
      <c r="D671" s="1">
        <v>157</v>
      </c>
      <c r="AC671" s="348" t="s">
        <v>632</v>
      </c>
      <c r="AD671" s="885" t="str">
        <f>"Расчетная величина собственных средств регулируемой организации для финансирования инвестиционной программы, учтенная при установлении тарифов в "&amp;PRD-2&amp;" году"</f>
        <v>Расчетная величина собственных средств регулируемой организации для финансирования инвестиционной программы, учтенная при установлении тарифов в 2024 году</v>
      </c>
      <c r="AE671" s="886"/>
      <c r="AF671" s="887"/>
      <c r="AG671" s="313" t="s">
        <v>619</v>
      </c>
      <c r="AH671" s="341" t="e">
        <f>#REF!</f>
        <v>#REF!</v>
      </c>
    </row>
    <row r="672" spans="4:43" ht="117.75" customHeight="1" outlineLevel="1">
      <c r="D672" s="1">
        <v>157</v>
      </c>
      <c r="AC672" s="348" t="s">
        <v>762</v>
      </c>
      <c r="AD672" s="885" t="str">
        <f>"Плановый размер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"&amp;PRD-2&amp;" год"</f>
        <v>Плановый размер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2024 год</v>
      </c>
      <c r="AE672" s="886"/>
      <c r="AF672" s="887"/>
      <c r="AG672" s="313" t="s">
        <v>619</v>
      </c>
      <c r="AH672" s="341" t="e">
        <f>#REF!</f>
        <v>#REF!</v>
      </c>
    </row>
    <row r="673" spans="4:43" ht="117.75" customHeight="1" outlineLevel="1">
      <c r="D673" s="1">
        <v>157</v>
      </c>
      <c r="AC673" s="348" t="s">
        <v>763</v>
      </c>
      <c r="AD673" s="885" t="str">
        <f>"Объем фактического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"&amp;PRD-2&amp;" год"</f>
        <v>Объем фактического финансирования инвестиционной программы, представляющей собой совокупность инвестиционных проектов, утвержденной (скорректированной) в установленном порядке на 2024 год</v>
      </c>
      <c r="AE673" s="886"/>
      <c r="AF673" s="887"/>
      <c r="AG673" s="313" t="s">
        <v>619</v>
      </c>
      <c r="AH673" s="341" t="e">
        <f>#REF!</f>
        <v>#REF!</v>
      </c>
    </row>
    <row r="674" spans="4:43" ht="13.5" customHeight="1" outlineLevel="1">
      <c r="D674" s="1">
        <v>18</v>
      </c>
    </row>
    <row r="675" spans="4:43" ht="23.25" customHeight="1" outlineLevel="1">
      <c r="D675" s="1">
        <v>31</v>
      </c>
      <c r="AB675" s="892" t="e">
        <f>"6) корректировка необходимой валовой выручки с учётом показателей надёжности и качества оказываемых услуг в "&amp;PRD-2&amp;" году по расчёту экспертов составила "&amp;ROUND(#REF!,2)&amp;" тыс. руб. "</f>
        <v>#REF!</v>
      </c>
      <c r="AC675" s="781"/>
      <c r="AD675" s="781"/>
      <c r="AE675" s="781"/>
      <c r="AF675" s="781"/>
      <c r="AG675" s="781"/>
      <c r="AH675" s="781"/>
      <c r="AI675" s="781"/>
      <c r="AJ675" s="781"/>
      <c r="AK675" s="781"/>
      <c r="AL675" s="781"/>
      <c r="AM675" s="781"/>
      <c r="AN675" s="781"/>
      <c r="AO675" s="781"/>
      <c r="AP675" s="781"/>
      <c r="AQ675" s="781"/>
    </row>
    <row r="676" spans="4:43" ht="23.25" customHeight="1" outlineLevel="1">
      <c r="D676" s="1">
        <v>31</v>
      </c>
      <c r="AB676" s="896" t="s">
        <v>1591</v>
      </c>
      <c r="AC676" s="896"/>
      <c r="AD676" s="896"/>
      <c r="AE676" s="896"/>
      <c r="AF676" s="896"/>
      <c r="AG676" s="896"/>
      <c r="AH676" s="896"/>
      <c r="AI676" s="896"/>
      <c r="AJ676" s="896"/>
      <c r="AK676" s="896"/>
      <c r="AL676" s="896"/>
      <c r="AM676" s="896"/>
      <c r="AN676" s="896"/>
      <c r="AO676" s="896"/>
      <c r="AP676" s="896"/>
      <c r="AQ676" s="896"/>
    </row>
    <row r="677" spans="4:43" ht="77.25" customHeight="1" outlineLevel="1">
      <c r="D677" s="1">
        <v>103</v>
      </c>
      <c r="AB677" s="896" t="s">
        <v>1592</v>
      </c>
      <c r="AC677" s="896"/>
      <c r="AD677" s="896"/>
      <c r="AE677" s="896"/>
      <c r="AF677" s="896"/>
      <c r="AG677" s="896"/>
      <c r="AH677" s="896"/>
      <c r="AI677" s="896"/>
      <c r="AJ677" s="896"/>
      <c r="AK677" s="896"/>
      <c r="AL677" s="896"/>
      <c r="AM677" s="896"/>
      <c r="AN677" s="896"/>
      <c r="AO677" s="896"/>
      <c r="AP677" s="896"/>
      <c r="AQ677" s="896"/>
    </row>
    <row r="678" spans="4:43" ht="45.75" customHeight="1" outlineLevel="1">
      <c r="D678" s="1">
        <v>61</v>
      </c>
      <c r="AB678" s="896" t="s">
        <v>1593</v>
      </c>
      <c r="AC678" s="896"/>
      <c r="AD678" s="896"/>
      <c r="AE678" s="896"/>
      <c r="AF678" s="896"/>
      <c r="AG678" s="896"/>
      <c r="AH678" s="896"/>
      <c r="AI678" s="896"/>
      <c r="AJ678" s="896"/>
      <c r="AK678" s="896"/>
      <c r="AL678" s="896"/>
      <c r="AM678" s="896"/>
      <c r="AN678" s="896"/>
      <c r="AO678" s="896"/>
      <c r="AP678" s="896"/>
      <c r="AQ678" s="896"/>
    </row>
    <row r="679" spans="4:43" ht="53.25" customHeight="1" outlineLevel="1">
      <c r="D679" s="1">
        <v>71</v>
      </c>
      <c r="AB679" s="896" t="s">
        <v>1594</v>
      </c>
      <c r="AC679" s="896"/>
      <c r="AD679" s="896"/>
      <c r="AE679" s="896"/>
      <c r="AF679" s="896"/>
      <c r="AG679" s="896"/>
      <c r="AH679" s="896"/>
      <c r="AI679" s="896"/>
      <c r="AJ679" s="896"/>
      <c r="AK679" s="896"/>
      <c r="AL679" s="896"/>
      <c r="AM679" s="896"/>
      <c r="AN679" s="896"/>
      <c r="AO679" s="896"/>
      <c r="AP679" s="896"/>
      <c r="AQ679" s="896"/>
    </row>
    <row r="680" spans="4:43" ht="23.25" customHeight="1" outlineLevel="1">
      <c r="D680" s="1">
        <v>31</v>
      </c>
      <c r="AB680" s="896" t="str">
        <f>"Максимальный процент корректировки, определяемый для "&amp;PRD-2&amp;" года = 2 %."</f>
        <v>Максимальный процент корректировки, определяемый для 2024 года = 2 %.</v>
      </c>
      <c r="AC680" s="896"/>
      <c r="AD680" s="896"/>
      <c r="AE680" s="896"/>
      <c r="AF680" s="896"/>
      <c r="AG680" s="896"/>
      <c r="AH680" s="896"/>
      <c r="AI680" s="896"/>
      <c r="AJ680" s="896"/>
      <c r="AK680" s="896"/>
      <c r="AL680" s="896"/>
      <c r="AM680" s="896"/>
      <c r="AN680" s="896"/>
      <c r="AO680" s="896"/>
      <c r="AP680" s="896"/>
      <c r="AQ680" s="896"/>
    </row>
    <row r="681" spans="4:43" ht="43.5" customHeight="1" outlineLevel="1">
      <c r="D681" s="1">
        <v>58</v>
      </c>
      <c r="AB681" s="896" t="s">
        <v>1595</v>
      </c>
      <c r="AC681" s="896"/>
      <c r="AD681" s="896"/>
      <c r="AE681" s="896"/>
      <c r="AF681" s="896"/>
      <c r="AG681" s="896"/>
      <c r="AH681" s="896"/>
      <c r="AI681" s="896"/>
      <c r="AJ681" s="896"/>
      <c r="AK681" s="896"/>
      <c r="AL681" s="896"/>
      <c r="AM681" s="896"/>
      <c r="AN681" s="896"/>
      <c r="AO681" s="896"/>
      <c r="AP681" s="896"/>
      <c r="AQ681" s="896"/>
    </row>
    <row r="682" spans="4:43" ht="23.25" customHeight="1" outlineLevel="1">
      <c r="D682" s="1">
        <v>31</v>
      </c>
      <c r="AB682" s="896" t="s">
        <v>1596</v>
      </c>
      <c r="AC682" s="896"/>
      <c r="AD682" s="896"/>
      <c r="AE682" s="896"/>
      <c r="AF682" s="896"/>
      <c r="AG682" s="896"/>
      <c r="AH682" s="896"/>
      <c r="AI682" s="896"/>
      <c r="AJ682" s="896"/>
      <c r="AK682" s="896"/>
      <c r="AL682" s="896"/>
      <c r="AM682" s="896"/>
      <c r="AN682" s="896"/>
      <c r="AO682" s="896"/>
      <c r="AP682" s="896"/>
      <c r="AQ682" s="896"/>
    </row>
    <row r="683" spans="4:43" ht="23.25" customHeight="1" outlineLevel="1">
      <c r="D683" s="1">
        <v>31</v>
      </c>
      <c r="AB683" s="896" t="s">
        <v>1597</v>
      </c>
      <c r="AC683" s="896"/>
      <c r="AD683" s="896"/>
      <c r="AE683" s="896"/>
      <c r="AF683" s="896"/>
      <c r="AG683" s="896"/>
      <c r="AH683" s="896"/>
      <c r="AI683" s="896"/>
      <c r="AJ683" s="896"/>
      <c r="AK683" s="896"/>
      <c r="AL683" s="896"/>
      <c r="AM683" s="896"/>
      <c r="AN683" s="896"/>
      <c r="AO683" s="896"/>
      <c r="AP683" s="896"/>
      <c r="AQ683" s="896"/>
    </row>
    <row r="684" spans="4:43" ht="23.25" customHeight="1" outlineLevel="1">
      <c r="D684" s="1">
        <v>31</v>
      </c>
      <c r="AB684" s="896" t="s">
        <v>1598</v>
      </c>
      <c r="AC684" s="896"/>
      <c r="AD684" s="896"/>
      <c r="AE684" s="896"/>
      <c r="AF684" s="896"/>
      <c r="AG684" s="896"/>
      <c r="AH684" s="896"/>
      <c r="AI684" s="896"/>
      <c r="AJ684" s="896"/>
      <c r="AK684" s="896"/>
      <c r="AL684" s="896"/>
      <c r="AM684" s="896"/>
      <c r="AN684" s="896"/>
      <c r="AO684" s="896"/>
      <c r="AP684" s="896"/>
      <c r="AQ684" s="896"/>
    </row>
    <row r="685" spans="4:43" ht="23.25" customHeight="1" outlineLevel="1">
      <c r="D685" s="1">
        <v>31</v>
      </c>
      <c r="AB685" s="896" t="s">
        <v>1598</v>
      </c>
      <c r="AC685" s="896"/>
      <c r="AD685" s="896"/>
      <c r="AE685" s="896"/>
      <c r="AF685" s="896"/>
      <c r="AG685" s="896"/>
      <c r="AH685" s="896"/>
      <c r="AI685" s="896"/>
      <c r="AJ685" s="896"/>
      <c r="AK685" s="896"/>
      <c r="AL685" s="896"/>
      <c r="AM685" s="896"/>
      <c r="AN685" s="896"/>
      <c r="AO685" s="896"/>
      <c r="AP685" s="896"/>
      <c r="AQ685" s="896"/>
    </row>
    <row r="686" spans="4:43" ht="23.25" customHeight="1" outlineLevel="1">
      <c r="D686" s="1">
        <v>31</v>
      </c>
      <c r="AB686" s="896" t="s">
        <v>1598</v>
      </c>
      <c r="AC686" s="896"/>
      <c r="AD686" s="896"/>
      <c r="AE686" s="896"/>
      <c r="AF686" s="896"/>
      <c r="AG686" s="896"/>
      <c r="AH686" s="896"/>
      <c r="AI686" s="896"/>
      <c r="AJ686" s="896"/>
      <c r="AK686" s="896"/>
      <c r="AL686" s="896"/>
      <c r="AM686" s="896"/>
      <c r="AN686" s="896"/>
      <c r="AO686" s="896"/>
      <c r="AP686" s="896"/>
      <c r="AQ686" s="896"/>
    </row>
    <row r="687" spans="4:43" ht="23.25" customHeight="1" outlineLevel="1">
      <c r="D687" s="1">
        <v>31</v>
      </c>
    </row>
    <row r="688" spans="4:43" ht="13.5" customHeight="1" outlineLevel="1">
      <c r="D688" s="1">
        <v>18</v>
      </c>
      <c r="AB688" s="347"/>
      <c r="AC688" s="347"/>
      <c r="AD688" s="347"/>
      <c r="AE688" s="347"/>
      <c r="AF688" s="347"/>
      <c r="AG688" s="347"/>
      <c r="AH688" s="347"/>
      <c r="AI688" s="347"/>
      <c r="AJ688" s="347"/>
      <c r="AK688" s="347"/>
      <c r="AL688" s="347"/>
      <c r="AM688" s="347"/>
      <c r="AN688" s="347"/>
      <c r="AO688" s="347"/>
      <c r="AP688" s="347"/>
      <c r="AQ688" s="347"/>
    </row>
    <row r="689" spans="4:43" ht="13.5" customHeight="1" outlineLevel="1">
      <c r="D689" s="1">
        <v>18</v>
      </c>
      <c r="AB689" s="347"/>
      <c r="AC689" s="347"/>
      <c r="AD689" s="347"/>
      <c r="AE689" s="347"/>
      <c r="AF689" s="347"/>
      <c r="AG689" s="347"/>
      <c r="AH689" s="347"/>
      <c r="AI689" s="347"/>
      <c r="AJ689" s="347"/>
      <c r="AK689" s="347"/>
      <c r="AL689" s="347"/>
      <c r="AM689" s="347"/>
      <c r="AN689" s="347"/>
      <c r="AO689" s="347"/>
      <c r="AP689" s="347"/>
      <c r="AQ689" s="347"/>
    </row>
    <row r="690" spans="4:43" ht="13.5" customHeight="1" outlineLevel="1">
      <c r="D690" s="1">
        <v>18</v>
      </c>
      <c r="AB690" s="347"/>
      <c r="AC690" s="347"/>
      <c r="AD690" s="347"/>
      <c r="AE690" s="347"/>
      <c r="AF690" s="347"/>
      <c r="AG690" s="347"/>
      <c r="AH690" s="347"/>
      <c r="AI690" s="347"/>
      <c r="AJ690" s="347"/>
      <c r="AK690" s="347"/>
      <c r="AL690" s="347"/>
      <c r="AM690" s="347"/>
      <c r="AN690" s="347"/>
      <c r="AO690" s="347"/>
      <c r="AP690" s="347"/>
      <c r="AQ690" s="347"/>
    </row>
    <row r="691" spans="4:43" ht="13.5" customHeight="1" outlineLevel="1">
      <c r="D691" s="1">
        <v>18</v>
      </c>
      <c r="AB691" s="347"/>
      <c r="AC691" s="347"/>
      <c r="AD691" s="347"/>
      <c r="AE691" s="347"/>
      <c r="AF691" s="347"/>
      <c r="AG691" s="347"/>
      <c r="AH691" s="347"/>
      <c r="AI691" s="347"/>
      <c r="AJ691" s="347"/>
      <c r="AK691" s="347"/>
      <c r="AL691" s="347"/>
      <c r="AM691" s="347"/>
      <c r="AN691" s="347"/>
      <c r="AO691" s="347"/>
      <c r="AP691" s="347"/>
      <c r="AQ691" s="347"/>
    </row>
    <row r="692" spans="4:43" ht="13.5" customHeight="1" outlineLevel="1">
      <c r="D692" s="1">
        <v>18</v>
      </c>
      <c r="AB692" s="347"/>
      <c r="AC692" s="347"/>
      <c r="AD692" s="347"/>
      <c r="AE692" s="347"/>
      <c r="AF692" s="347"/>
      <c r="AG692" s="347"/>
      <c r="AH692" s="347"/>
      <c r="AI692" s="347"/>
      <c r="AJ692" s="347"/>
      <c r="AK692" s="347"/>
      <c r="AL692" s="347"/>
      <c r="AM692" s="347"/>
      <c r="AN692" s="347"/>
      <c r="AO692" s="347"/>
      <c r="AP692" s="347"/>
      <c r="AQ692" s="347"/>
    </row>
    <row r="693" spans="4:43" ht="13.5" customHeight="1" outlineLevel="1">
      <c r="D693" s="1">
        <v>18</v>
      </c>
      <c r="AB693" s="347"/>
      <c r="AC693" s="347"/>
      <c r="AD693" s="347"/>
      <c r="AE693" s="347"/>
      <c r="AF693" s="347"/>
      <c r="AG693" s="347"/>
      <c r="AH693" s="347"/>
      <c r="AI693" s="347"/>
      <c r="AJ693" s="347"/>
      <c r="AK693" s="347"/>
      <c r="AL693" s="347"/>
      <c r="AM693" s="347"/>
      <c r="AN693" s="347"/>
      <c r="AO693" s="347"/>
      <c r="AP693" s="347"/>
      <c r="AQ693" s="347"/>
    </row>
    <row r="694" spans="4:43" ht="13.5" customHeight="1" outlineLevel="1">
      <c r="D694" s="1">
        <v>18</v>
      </c>
      <c r="AB694" s="347"/>
      <c r="AC694" s="347"/>
      <c r="AD694" s="347"/>
      <c r="AE694" s="347"/>
      <c r="AF694" s="347"/>
      <c r="AG694" s="347"/>
      <c r="AH694" s="347"/>
      <c r="AI694" s="347"/>
      <c r="AJ694" s="347"/>
      <c r="AK694" s="347"/>
      <c r="AL694" s="347"/>
      <c r="AM694" s="347"/>
      <c r="AN694" s="347"/>
      <c r="AO694" s="347"/>
      <c r="AP694" s="347"/>
      <c r="AQ694" s="347"/>
    </row>
    <row r="695" spans="4:43" ht="13.5" customHeight="1" outlineLevel="1">
      <c r="D695" s="1">
        <v>18</v>
      </c>
      <c r="AB695" s="347"/>
      <c r="AC695" s="347"/>
      <c r="AD695" s="347"/>
      <c r="AE695" s="347"/>
      <c r="AF695" s="347"/>
      <c r="AG695" s="347"/>
      <c r="AH695" s="347"/>
      <c r="AI695" s="347"/>
      <c r="AJ695" s="347"/>
      <c r="AK695" s="347"/>
      <c r="AL695" s="347"/>
      <c r="AM695" s="347"/>
      <c r="AN695" s="347"/>
      <c r="AO695" s="347"/>
      <c r="AP695" s="347"/>
      <c r="AQ695" s="347"/>
    </row>
    <row r="696" spans="4:43" ht="13.5" customHeight="1" outlineLevel="1">
      <c r="D696" s="1">
        <v>18</v>
      </c>
      <c r="AB696" s="347"/>
      <c r="AC696" s="347"/>
      <c r="AD696" s="347"/>
      <c r="AE696" s="347"/>
      <c r="AF696" s="347"/>
      <c r="AG696" s="347"/>
      <c r="AH696" s="347"/>
      <c r="AI696" s="347"/>
      <c r="AJ696" s="347"/>
      <c r="AK696" s="347"/>
      <c r="AL696" s="347"/>
      <c r="AM696" s="347"/>
      <c r="AN696" s="347"/>
      <c r="AO696" s="347"/>
      <c r="AP696" s="347"/>
      <c r="AQ696" s="347"/>
    </row>
    <row r="697" spans="4:43" ht="13.5" customHeight="1" outlineLevel="1">
      <c r="D697" s="1">
        <v>18</v>
      </c>
      <c r="AB697" s="347"/>
      <c r="AC697" s="347"/>
      <c r="AD697" s="347"/>
      <c r="AE697" s="347"/>
      <c r="AF697" s="347"/>
      <c r="AG697" s="347"/>
      <c r="AH697" s="347"/>
      <c r="AI697" s="347"/>
      <c r="AJ697" s="347"/>
      <c r="AK697" s="347"/>
      <c r="AL697" s="347"/>
      <c r="AM697" s="347"/>
      <c r="AN697" s="347"/>
      <c r="AO697" s="347"/>
      <c r="AP697" s="347"/>
      <c r="AQ697" s="347"/>
    </row>
    <row r="698" spans="4:43" ht="13.5" customHeight="1" outlineLevel="1">
      <c r="D698" s="1">
        <v>18</v>
      </c>
      <c r="AB698" s="347"/>
      <c r="AC698" s="347"/>
      <c r="AD698" s="347"/>
      <c r="AE698" s="347"/>
      <c r="AF698" s="347"/>
      <c r="AG698" s="347"/>
      <c r="AH698" s="347"/>
      <c r="AI698" s="347"/>
      <c r="AJ698" s="347"/>
      <c r="AK698" s="347"/>
      <c r="AL698" s="347"/>
      <c r="AM698" s="347"/>
      <c r="AN698" s="347"/>
      <c r="AO698" s="347"/>
      <c r="AP698" s="347"/>
      <c r="AQ698" s="347"/>
    </row>
    <row r="699" spans="4:43" ht="13.5" customHeight="1" outlineLevel="1">
      <c r="D699" s="1">
        <v>18</v>
      </c>
      <c r="AB699" s="347"/>
      <c r="AC699" s="347"/>
      <c r="AD699" s="347"/>
      <c r="AE699" s="347"/>
      <c r="AF699" s="347"/>
      <c r="AG699" s="347"/>
      <c r="AH699" s="347"/>
      <c r="AI699" s="347"/>
      <c r="AJ699" s="347"/>
      <c r="AK699" s="347"/>
      <c r="AL699" s="347"/>
      <c r="AM699" s="347"/>
      <c r="AN699" s="347"/>
      <c r="AO699" s="347"/>
      <c r="AP699" s="347"/>
      <c r="AQ699" s="347"/>
    </row>
    <row r="700" spans="4:43" ht="13.5" customHeight="1" outlineLevel="1">
      <c r="D700" s="1">
        <v>18</v>
      </c>
      <c r="AB700" s="347"/>
      <c r="AC700" s="347"/>
      <c r="AD700" s="347"/>
      <c r="AE700" s="347"/>
      <c r="AF700" s="347"/>
      <c r="AG700" s="347"/>
      <c r="AH700" s="347"/>
      <c r="AI700" s="347"/>
      <c r="AJ700" s="347"/>
      <c r="AK700" s="347"/>
      <c r="AL700" s="347"/>
      <c r="AM700" s="347"/>
      <c r="AN700" s="347"/>
      <c r="AO700" s="347"/>
      <c r="AP700" s="347"/>
      <c r="AQ700" s="347"/>
    </row>
    <row r="701" spans="4:43" ht="13.5" customHeight="1" outlineLevel="1">
      <c r="D701" s="1">
        <v>18</v>
      </c>
      <c r="AB701" s="347"/>
      <c r="AC701" s="347"/>
      <c r="AD701" s="347"/>
      <c r="AE701" s="347"/>
      <c r="AF701" s="347"/>
      <c r="AG701" s="347"/>
      <c r="AH701" s="347"/>
      <c r="AI701" s="347"/>
      <c r="AJ701" s="347"/>
      <c r="AK701" s="347"/>
      <c r="AL701" s="347"/>
      <c r="AM701" s="347"/>
      <c r="AN701" s="347"/>
      <c r="AO701" s="347"/>
      <c r="AP701" s="347"/>
      <c r="AQ701" s="347"/>
    </row>
    <row r="702" spans="4:43" ht="13.5" customHeight="1" outlineLevel="1">
      <c r="D702" s="1">
        <v>18</v>
      </c>
      <c r="AB702" s="347"/>
      <c r="AC702" s="347"/>
      <c r="AD702" s="347"/>
      <c r="AE702" s="347"/>
      <c r="AF702" s="347"/>
      <c r="AG702" s="347"/>
      <c r="AH702" s="347"/>
      <c r="AI702" s="347"/>
      <c r="AJ702" s="347"/>
      <c r="AK702" s="347"/>
      <c r="AL702" s="347"/>
      <c r="AM702" s="347"/>
      <c r="AN702" s="347"/>
      <c r="AO702" s="347"/>
      <c r="AP702" s="347"/>
      <c r="AQ702" s="347"/>
    </row>
    <row r="703" spans="4:43" ht="13.5" customHeight="1" outlineLevel="1">
      <c r="D703" s="1">
        <v>18</v>
      </c>
      <c r="AB703" s="347"/>
      <c r="AC703" s="347"/>
      <c r="AD703" s="347"/>
      <c r="AE703" s="347"/>
      <c r="AF703" s="347"/>
      <c r="AG703" s="347"/>
      <c r="AH703" s="347"/>
      <c r="AI703" s="347"/>
      <c r="AJ703" s="347"/>
      <c r="AK703" s="347"/>
      <c r="AL703" s="347"/>
      <c r="AM703" s="347"/>
      <c r="AN703" s="347"/>
      <c r="AO703" s="347"/>
      <c r="AP703" s="347"/>
      <c r="AQ703" s="347"/>
    </row>
    <row r="704" spans="4:43" ht="13.5" customHeight="1" outlineLevel="1">
      <c r="D704" s="1">
        <v>18</v>
      </c>
      <c r="AB704" s="347"/>
      <c r="AC704" s="347"/>
      <c r="AD704" s="347"/>
      <c r="AE704" s="347"/>
      <c r="AF704" s="347"/>
      <c r="AG704" s="347"/>
      <c r="AH704" s="347"/>
      <c r="AI704" s="347"/>
      <c r="AJ704" s="347"/>
      <c r="AK704" s="347"/>
      <c r="AL704" s="347"/>
      <c r="AM704" s="347"/>
      <c r="AN704" s="347"/>
      <c r="AO704" s="347"/>
      <c r="AP704" s="347"/>
      <c r="AQ704" s="347"/>
    </row>
    <row r="705" spans="4:43" ht="13.5" customHeight="1" outlineLevel="1">
      <c r="D705" s="1">
        <v>18</v>
      </c>
      <c r="AB705" s="347"/>
      <c r="AC705" s="347"/>
      <c r="AD705" s="347"/>
      <c r="AE705" s="347"/>
      <c r="AF705" s="347"/>
      <c r="AG705" s="347"/>
      <c r="AH705" s="347"/>
      <c r="AI705" s="347"/>
      <c r="AJ705" s="347"/>
      <c r="AK705" s="347"/>
      <c r="AL705" s="347"/>
      <c r="AM705" s="347"/>
      <c r="AN705" s="347"/>
      <c r="AO705" s="347"/>
      <c r="AP705" s="347"/>
      <c r="AQ705" s="347"/>
    </row>
    <row r="706" spans="4:43" ht="13.5" customHeight="1" outlineLevel="1">
      <c r="D706">
        <v>18</v>
      </c>
    </row>
    <row r="707" spans="4:43" ht="13.5" customHeight="1" outlineLevel="1">
      <c r="D707">
        <v>18</v>
      </c>
    </row>
    <row r="708" spans="4:43" ht="23.25" customHeight="1" outlineLevel="1">
      <c r="D708" s="1">
        <v>31</v>
      </c>
      <c r="AB708" s="892" t="s">
        <v>1599</v>
      </c>
      <c r="AC708" s="781"/>
      <c r="AD708" s="781"/>
      <c r="AE708" s="781"/>
      <c r="AF708" s="781"/>
      <c r="AG708" s="781"/>
      <c r="AH708" s="781"/>
      <c r="AI708" s="781"/>
      <c r="AJ708" s="781"/>
      <c r="AK708" s="781"/>
      <c r="AL708" s="781"/>
      <c r="AM708" s="781"/>
      <c r="AN708" s="781"/>
      <c r="AO708" s="781"/>
      <c r="AP708" s="781"/>
      <c r="AQ708" s="781"/>
    </row>
    <row r="709" spans="4:43" ht="17.25" customHeight="1" outlineLevel="1">
      <c r="D709" s="1">
        <v>23</v>
      </c>
      <c r="AC709" s="349" t="s">
        <v>536</v>
      </c>
      <c r="AD709" s="995" t="s">
        <v>1012</v>
      </c>
      <c r="AE709" s="996"/>
      <c r="AF709" s="997"/>
      <c r="AG709" s="998"/>
      <c r="AH709" s="999"/>
      <c r="AI709" s="999"/>
      <c r="AJ709" s="999"/>
    </row>
    <row r="710" spans="4:43" ht="17.25" customHeight="1" outlineLevel="1">
      <c r="D710" s="1">
        <v>23</v>
      </c>
      <c r="AC710" s="313" t="s">
        <v>705</v>
      </c>
      <c r="AD710" s="986" t="s">
        <v>1013</v>
      </c>
      <c r="AE710" s="986"/>
      <c r="AF710" s="986"/>
      <c r="AG710" s="986"/>
      <c r="AH710" s="986"/>
      <c r="AI710" s="313" t="s">
        <v>619</v>
      </c>
      <c r="AJ710" s="341">
        <f>IFERROR(#REF!,0)</f>
        <v>0</v>
      </c>
    </row>
    <row r="711" spans="4:43" ht="17.25" customHeight="1" outlineLevel="1">
      <c r="D711" s="1">
        <v>23</v>
      </c>
      <c r="AC711" s="313" t="s">
        <v>1600</v>
      </c>
      <c r="AD711" s="986" t="s">
        <v>1014</v>
      </c>
      <c r="AE711" s="986"/>
      <c r="AF711" s="986"/>
      <c r="AG711" s="986"/>
      <c r="AH711" s="986"/>
      <c r="AI711" s="313" t="s">
        <v>619</v>
      </c>
      <c r="AJ711" s="341">
        <f>IFERROR(#REF!,0)</f>
        <v>0</v>
      </c>
    </row>
    <row r="712" spans="4:43" ht="17.25" customHeight="1" outlineLevel="1">
      <c r="D712" s="1">
        <v>23</v>
      </c>
      <c r="AC712" s="313" t="s">
        <v>1601</v>
      </c>
      <c r="AD712" s="986" t="s">
        <v>1015</v>
      </c>
      <c r="AE712" s="986"/>
      <c r="AF712" s="986"/>
      <c r="AG712" s="986"/>
      <c r="AH712" s="986"/>
      <c r="AI712" s="313" t="s">
        <v>619</v>
      </c>
      <c r="AJ712" s="341">
        <f>IFERROR(#REF!,0)</f>
        <v>0</v>
      </c>
    </row>
    <row r="713" spans="4:43" ht="17.25" customHeight="1" outlineLevel="1">
      <c r="D713" s="1">
        <v>23</v>
      </c>
      <c r="AC713" s="313" t="s">
        <v>1602</v>
      </c>
      <c r="AD713" s="986" t="s">
        <v>1016</v>
      </c>
      <c r="AE713" s="986"/>
      <c r="AF713" s="986"/>
      <c r="AG713" s="986"/>
      <c r="AH713" s="986"/>
      <c r="AI713" s="313" t="s">
        <v>619</v>
      </c>
      <c r="AJ713" s="341">
        <f>IFERROR(#REF!,0)</f>
        <v>0</v>
      </c>
    </row>
    <row r="714" spans="4:43" ht="31.5" customHeight="1" outlineLevel="1">
      <c r="D714" s="1">
        <v>42</v>
      </c>
      <c r="AC714" s="313" t="s">
        <v>1603</v>
      </c>
      <c r="AD714" s="986" t="s">
        <v>1017</v>
      </c>
      <c r="AE714" s="986"/>
      <c r="AF714" s="986"/>
      <c r="AG714" s="986"/>
      <c r="AH714" s="986"/>
      <c r="AI714" s="313" t="s">
        <v>619</v>
      </c>
      <c r="AJ714" s="341">
        <f>IFERROR(#REF!,0)</f>
        <v>0</v>
      </c>
    </row>
    <row r="715" spans="4:43" ht="19.5" customHeight="1" outlineLevel="1">
      <c r="D715" s="1">
        <v>26</v>
      </c>
      <c r="AC715" s="313" t="s">
        <v>1604</v>
      </c>
      <c r="AD715" s="986" t="s">
        <v>1018</v>
      </c>
      <c r="AE715" s="986"/>
      <c r="AF715" s="986"/>
      <c r="AG715" s="986"/>
      <c r="AH715" s="986"/>
      <c r="AI715" s="313" t="s">
        <v>619</v>
      </c>
      <c r="AJ715" s="341">
        <f>IFERROR(#REF!,0)</f>
        <v>0</v>
      </c>
    </row>
    <row r="716" spans="4:43" ht="31.5" customHeight="1" outlineLevel="1">
      <c r="D716" s="1">
        <v>42</v>
      </c>
      <c r="AC716" s="313" t="s">
        <v>1605</v>
      </c>
      <c r="AD716" s="986" t="s">
        <v>1019</v>
      </c>
      <c r="AE716" s="986"/>
      <c r="AF716" s="986"/>
      <c r="AG716" s="986"/>
      <c r="AH716" s="986"/>
      <c r="AI716" s="313" t="s">
        <v>619</v>
      </c>
      <c r="AJ716" s="341">
        <f>IFERROR(#REF!,0)</f>
        <v>0</v>
      </c>
    </row>
    <row r="717" spans="4:43" ht="15.75" customHeight="1" outlineLevel="2">
      <c r="D717" s="1">
        <v>21</v>
      </c>
      <c r="AC717" s="313" t="s">
        <v>1606</v>
      </c>
      <c r="AD717" s="986" t="s">
        <v>1020</v>
      </c>
      <c r="AE717" s="986"/>
      <c r="AF717" s="986"/>
      <c r="AG717" s="986"/>
      <c r="AH717" s="986"/>
      <c r="AI717" s="313" t="s">
        <v>619</v>
      </c>
      <c r="AJ717" s="341">
        <f>IFERROR(#REF!,0)</f>
        <v>0</v>
      </c>
    </row>
    <row r="718" spans="4:43" ht="13.5" customHeight="1">
      <c r="D718" s="1">
        <v>18</v>
      </c>
    </row>
    <row r="719" spans="4:43" ht="17.25" customHeight="1">
      <c r="D719" s="1">
        <v>23</v>
      </c>
      <c r="AA719" s="781"/>
      <c r="AB719" s="940" t="s">
        <v>1607</v>
      </c>
      <c r="AC719" s="781"/>
      <c r="AD719" s="781"/>
      <c r="AE719" s="781"/>
      <c r="AF719" s="781"/>
      <c r="AG719" s="781"/>
      <c r="AH719" s="781"/>
      <c r="AI719" s="781"/>
      <c r="AJ719" s="781"/>
      <c r="AK719" s="781"/>
      <c r="AL719" s="781"/>
      <c r="AM719" s="781"/>
      <c r="AN719" s="781"/>
      <c r="AO719" s="781"/>
      <c r="AP719" s="781"/>
      <c r="AQ719" s="781"/>
    </row>
    <row r="720" spans="4:43" ht="23.25" customHeight="1">
      <c r="D720" s="1">
        <v>31</v>
      </c>
      <c r="AA720" s="781"/>
      <c r="AB720" s="781"/>
      <c r="AC720" s="781"/>
      <c r="AD720" s="781"/>
      <c r="AE720" s="781"/>
      <c r="AF720" s="781"/>
      <c r="AG720" s="781"/>
      <c r="AH720" s="781"/>
      <c r="AI720" s="781"/>
      <c r="AJ720" s="781"/>
      <c r="AK720" s="781"/>
      <c r="AL720" s="781"/>
      <c r="AM720" s="781"/>
      <c r="AN720" s="781"/>
      <c r="AO720" s="781"/>
      <c r="AP720" s="781"/>
      <c r="AQ720" s="781"/>
    </row>
    <row r="721" spans="4:43" ht="31.5" customHeight="1">
      <c r="D721" s="1">
        <v>42</v>
      </c>
      <c r="AB721" s="896" t="s">
        <v>1608</v>
      </c>
      <c r="AC721" s="896"/>
      <c r="AD721" s="896"/>
      <c r="AE721" s="896"/>
      <c r="AF721" s="896"/>
      <c r="AG721" s="896"/>
      <c r="AH721" s="896"/>
      <c r="AI721" s="896"/>
      <c r="AJ721" s="896"/>
      <c r="AK721" s="896"/>
      <c r="AL721" s="896"/>
      <c r="AM721" s="896"/>
      <c r="AN721" s="896"/>
      <c r="AO721" s="896"/>
      <c r="AP721" s="896"/>
      <c r="AQ721" s="896"/>
    </row>
    <row r="722" spans="4:43" ht="17.25" customHeight="1">
      <c r="D722" s="1">
        <v>23</v>
      </c>
      <c r="AB722" s="896" t="str">
        <f>"производства и поставок электрической энергии (мощности) по "&amp;Титульный!AC183&amp;" на "&amp;PRD&amp;" год""утверждённому приказом ФАС России от"</f>
        <v>производства и поставок электрической энергии (мощности) по  на 2026 год"утверждённому приказом ФАС России от</v>
      </c>
      <c r="AC722" s="896"/>
      <c r="AD722" s="896"/>
      <c r="AE722" s="896"/>
      <c r="AF722" s="896"/>
      <c r="AG722" s="896"/>
      <c r="AH722" s="896"/>
      <c r="AI722" s="896"/>
      <c r="AJ722" s="896"/>
      <c r="AK722" s="896"/>
      <c r="AL722" s="896"/>
      <c r="AM722" s="953"/>
      <c r="AN722" s="953"/>
      <c r="AO722" s="307" t="s">
        <v>1327</v>
      </c>
      <c r="AP722" s="953"/>
      <c r="AQ722" s="953"/>
    </row>
    <row r="723" spans="4:43" ht="73.5" customHeight="1">
      <c r="D723" s="1">
        <v>98</v>
      </c>
      <c r="AB723" s="896" t="s">
        <v>1609</v>
      </c>
      <c r="AC723" s="896"/>
      <c r="AD723" s="896"/>
      <c r="AE723" s="896"/>
      <c r="AF723" s="896"/>
      <c r="AG723" s="896"/>
      <c r="AH723" s="896"/>
      <c r="AI723" s="896"/>
      <c r="AJ723" s="896"/>
      <c r="AK723" s="896"/>
      <c r="AL723" s="896"/>
      <c r="AM723" s="896"/>
      <c r="AN723" s="896"/>
      <c r="AO723" s="896"/>
      <c r="AP723" s="896"/>
      <c r="AQ723" s="896"/>
    </row>
    <row r="724" spans="4:43" ht="41.25" customHeight="1">
      <c r="D724" s="1">
        <v>55</v>
      </c>
      <c r="AB724" s="896" t="s">
        <v>1610</v>
      </c>
      <c r="AC724" s="896"/>
      <c r="AD724" s="896"/>
      <c r="AE724" s="896"/>
      <c r="AF724" s="896"/>
      <c r="AG724" s="896"/>
      <c r="AH724" s="896"/>
      <c r="AI724" s="896"/>
      <c r="AJ724" s="896"/>
      <c r="AK724" s="896"/>
      <c r="AL724" s="896"/>
      <c r="AM724" s="896"/>
      <c r="AN724" s="896"/>
      <c r="AO724" s="896"/>
      <c r="AP724" s="896"/>
      <c r="AQ724" s="896"/>
    </row>
    <row r="725" spans="4:43" ht="35.25" customHeight="1">
      <c r="D725" s="1">
        <v>47</v>
      </c>
      <c r="AC725" s="976"/>
      <c r="AD725" s="976"/>
      <c r="AE725" s="976"/>
      <c r="AF725" s="976"/>
      <c r="AG725" s="976"/>
      <c r="AH725" s="350" t="str">
        <f>"Утверждено "&amp;PRD-2&amp;" год"</f>
        <v>Утверждено 2024 год</v>
      </c>
      <c r="AI725" s="350" t="str">
        <f>"Факт "&amp;PRD-2&amp;" год"</f>
        <v>Факт 2024 год</v>
      </c>
      <c r="AJ725" s="350" t="s">
        <v>942</v>
      </c>
      <c r="AK725" s="350" t="str">
        <f>"Утверждено "&amp;PRD-1&amp;" год"</f>
        <v>Утверждено 2025 год</v>
      </c>
      <c r="AL725" s="350" t="str">
        <f>"Утверждено "&amp;PRD&amp;" год"</f>
        <v>Утверждено 2026 год</v>
      </c>
      <c r="AM725" s="350" t="s">
        <v>942</v>
      </c>
    </row>
    <row r="726" spans="4:43" ht="23.25" customHeight="1">
      <c r="D726" s="1">
        <v>31</v>
      </c>
      <c r="AC726" s="313" t="s">
        <v>530</v>
      </c>
      <c r="AD726" s="900" t="s">
        <v>933</v>
      </c>
      <c r="AE726" s="900"/>
      <c r="AF726" s="900"/>
      <c r="AG726" s="312" t="s">
        <v>916</v>
      </c>
      <c r="AH726" s="341" t="e">
        <f>#REF!</f>
        <v>#REF!</v>
      </c>
      <c r="AI726" s="341" t="e">
        <f>#REF!</f>
        <v>#REF!</v>
      </c>
      <c r="AJ726" s="342">
        <f>IFERROR(IF(AH726=0,0,AI726/AH726),0)</f>
        <v>0</v>
      </c>
      <c r="AK726" s="341" t="e">
        <f>#REF!</f>
        <v>#REF!</v>
      </c>
      <c r="AL726" s="341" t="e">
        <f>#REF!</f>
        <v>#REF!</v>
      </c>
      <c r="AM726" s="342">
        <f>IFERROR(IF(AK726=0,0,AL726/AK726),0)</f>
        <v>0</v>
      </c>
    </row>
    <row r="727" spans="4:43" ht="23.25" customHeight="1">
      <c r="D727" s="1">
        <v>31</v>
      </c>
      <c r="AC727" s="313" t="s">
        <v>927</v>
      </c>
      <c r="AD727" s="900" t="s">
        <v>1032</v>
      </c>
      <c r="AE727" s="900"/>
      <c r="AF727" s="900"/>
      <c r="AG727" s="312" t="s">
        <v>1033</v>
      </c>
      <c r="AH727" s="341" t="e">
        <f>#REF!</f>
        <v>#REF!</v>
      </c>
      <c r="AI727" s="341" t="e">
        <f>#REF!</f>
        <v>#REF!</v>
      </c>
      <c r="AJ727" s="342">
        <f>IFERROR(IF(AH727=0,0,AI727/AH727),0)</f>
        <v>0</v>
      </c>
      <c r="AK727" s="341" t="e">
        <f>#REF!</f>
        <v>#REF!</v>
      </c>
      <c r="AL727" s="341" t="e">
        <f>#REF!</f>
        <v>#REF!</v>
      </c>
      <c r="AM727" s="342">
        <f>IFERROR(IF(AK727=0,0,AL727/AK727),0)</f>
        <v>0</v>
      </c>
    </row>
    <row r="728" spans="4:43" ht="33" customHeight="1">
      <c r="D728" s="1">
        <v>44</v>
      </c>
      <c r="AC728" s="313" t="s">
        <v>1021</v>
      </c>
      <c r="AD728" s="900" t="s">
        <v>1034</v>
      </c>
      <c r="AE728" s="900"/>
      <c r="AF728" s="900"/>
      <c r="AG728" s="313" t="s">
        <v>1035</v>
      </c>
      <c r="AH728" s="341" t="e">
        <f>#REF!</f>
        <v>#REF!</v>
      </c>
      <c r="AI728" s="341" t="e">
        <f>#REF!</f>
        <v>#REF!</v>
      </c>
      <c r="AJ728" s="342">
        <f>IFERROR(IF(AH728=0,0,AI728/AH728),0)</f>
        <v>0</v>
      </c>
      <c r="AK728" s="341" t="e">
        <f>#REF!</f>
        <v>#REF!</v>
      </c>
      <c r="AL728" s="341" t="e">
        <f>#REF!</f>
        <v>#REF!</v>
      </c>
      <c r="AM728" s="342">
        <f>IFERROR(IF(AK728=0,0,AL728/AK728),0)</f>
        <v>0</v>
      </c>
    </row>
    <row r="729" spans="4:43" ht="23.25" customHeight="1">
      <c r="D729" s="1">
        <v>31</v>
      </c>
    </row>
    <row r="730" spans="4:43" ht="41.25" customHeight="1">
      <c r="D730" s="1">
        <v>55</v>
      </c>
      <c r="AB730" s="896" t="str">
        <f>"Таким образом, экономически обоснованными признаны затраты на электроэнергию, приобретаемую в целях компенсации потерь, в размере "&amp;ROUND(AL568,2)&amp;" тыс. руб. Изменение потерь по отношению к утверждённым на "&amp;PRD-1&amp;" год составило ("&amp;ROUND(AM568*100-100,2)&amp;"%)."</f>
        <v>Таким образом, экономически обоснованными признаны затраты на электроэнергию, приобретаемую в целях компенсации потерь, в размере 0 тыс. руб. Изменение потерь по отношению к утверждённым на 2025 год составило (-100%).</v>
      </c>
      <c r="AC730" s="896"/>
      <c r="AD730" s="896"/>
      <c r="AE730" s="896"/>
      <c r="AF730" s="896"/>
      <c r="AG730" s="896"/>
      <c r="AH730" s="896"/>
      <c r="AI730" s="896"/>
      <c r="AJ730" s="896"/>
      <c r="AK730" s="896"/>
      <c r="AL730" s="896"/>
      <c r="AM730" s="896"/>
      <c r="AN730" s="896"/>
      <c r="AO730" s="896"/>
      <c r="AP730" s="896"/>
      <c r="AQ730" s="896"/>
    </row>
    <row r="731" spans="4:43" ht="23.25" customHeight="1">
      <c r="D731" s="1">
        <v>31</v>
      </c>
    </row>
    <row r="732" spans="4:43" ht="13.5" customHeight="1">
      <c r="D732">
        <v>18</v>
      </c>
    </row>
    <row r="733" spans="4:43" ht="33.75" customHeight="1">
      <c r="D733" s="1">
        <v>45</v>
      </c>
      <c r="AB733" s="1007" t="s">
        <v>1611</v>
      </c>
      <c r="AC733" s="781"/>
      <c r="AD733" s="781"/>
      <c r="AE733" s="781"/>
      <c r="AF733" s="781"/>
      <c r="AG733" s="781"/>
      <c r="AH733" s="781"/>
      <c r="AI733" s="781"/>
      <c r="AJ733" s="781"/>
      <c r="AK733" s="781"/>
      <c r="AL733" s="781"/>
      <c r="AM733" s="781"/>
      <c r="AN733" s="781"/>
      <c r="AO733" s="781"/>
      <c r="AP733" s="781"/>
      <c r="AQ733" s="781"/>
    </row>
    <row r="734" spans="4:43" ht="45.75" customHeight="1">
      <c r="D734" s="1">
        <v>61</v>
      </c>
      <c r="AB734" s="992" t="str">
        <f>"В соответствии с проведённым анализом представленных в составе тарифного дела "&amp;'Форма раскрытия информации'!AD171&amp;" материалов (бухгалтерская и налоговая отчётность за "&amp;PRD-2&amp;" год, подписанные руководителем и заверенные печатью), экспертами сделан вывод о достоверности данных за "&amp;PRD-2&amp;" год, указанных в предложениях предприятия, бухгалтерской отчётности."</f>
        <v>В соответствии с проведённым анализом представленных в составе тарифного дела  материалов (бухгалтерская и налоговая отчётность за 2024 год, подписанные руководителем и заверенные печатью), экспертами сделан вывод о достоверности данных за 2024 год, указанных в предложениях предприятия, бухгалтерской отчётности.</v>
      </c>
      <c r="AC734" s="992"/>
      <c r="AD734" s="992"/>
      <c r="AE734" s="992"/>
      <c r="AF734" s="992"/>
      <c r="AG734" s="992"/>
      <c r="AH734" s="992"/>
      <c r="AI734" s="992"/>
      <c r="AJ734" s="992"/>
      <c r="AK734" s="992"/>
      <c r="AL734" s="992"/>
      <c r="AM734" s="992"/>
      <c r="AN734" s="992"/>
      <c r="AO734" s="992"/>
      <c r="AP734" s="992"/>
      <c r="AQ734" s="992"/>
    </row>
    <row r="735" spans="4:43" ht="45.75" customHeight="1">
      <c r="D735" s="1">
        <v>61</v>
      </c>
      <c r="AB735" s="992" t="s">
        <v>1612</v>
      </c>
      <c r="AC735" s="992"/>
      <c r="AD735" s="992"/>
      <c r="AE735" s="992"/>
      <c r="AF735" s="992"/>
      <c r="AG735" s="992"/>
      <c r="AH735" s="992"/>
      <c r="AI735" s="992"/>
      <c r="AJ735" s="992"/>
      <c r="AK735" s="992"/>
      <c r="AL735" s="992"/>
      <c r="AM735" s="992"/>
      <c r="AN735" s="992"/>
      <c r="AO735" s="992"/>
      <c r="AP735" s="992"/>
      <c r="AQ735" s="992"/>
    </row>
    <row r="736" spans="4:43" ht="45.75" customHeight="1">
      <c r="D736" s="1">
        <v>61</v>
      </c>
      <c r="AB736" s="992" t="str">
        <f>"По результатам проведения экспертизы материалов дела  "&amp;'Форма раскрытия информации'!AD171&amp;" по установлению тарифов на услуги по передаче электрической энергии экспертами, в соответствии с Методическими указаниями от 06.08.2004 № 20-э/2 и от 17.02.2012 № 98-э, эксперты принимают необходимую валовую выручку:"</f>
        <v>По результатам проведения экспертизы материалов дела   по установлению тарифов на услуги по передаче электрической энергии экспертами, в соответствии с Методическими указаниями от 06.08.2004 № 20-э/2 и от 17.02.2012 № 98-э, эксперты принимают необходимую валовую выручку:</v>
      </c>
      <c r="AC736" s="992"/>
      <c r="AD736" s="992"/>
      <c r="AE736" s="992"/>
      <c r="AF736" s="992"/>
      <c r="AG736" s="992"/>
      <c r="AH736" s="992"/>
      <c r="AI736" s="992"/>
      <c r="AJ736" s="992"/>
      <c r="AK736" s="992"/>
      <c r="AL736" s="992"/>
      <c r="AM736" s="992"/>
      <c r="AN736" s="992"/>
      <c r="AO736" s="992"/>
      <c r="AP736" s="992"/>
      <c r="AQ736" s="992"/>
    </row>
    <row r="737" spans="4:43" ht="27.75" customHeight="1">
      <c r="D737" s="1">
        <v>37</v>
      </c>
      <c r="AC737" s="976"/>
      <c r="AD737" s="976"/>
      <c r="AE737" s="976"/>
      <c r="AF737" s="976"/>
      <c r="AG737" s="976"/>
      <c r="AH737" s="976"/>
      <c r="AI737" s="312" t="str">
        <f>"Утверждено "&amp;PRD&amp;" год"</f>
        <v>Утверждено 2026 год</v>
      </c>
    </row>
    <row r="738" spans="4:43" ht="13.5" customHeight="1">
      <c r="D738" s="1">
        <v>18</v>
      </c>
      <c r="AC738" s="993" t="s">
        <v>1613</v>
      </c>
      <c r="AD738" s="993"/>
      <c r="AE738" s="993"/>
      <c r="AF738" s="993"/>
      <c r="AG738" s="993"/>
      <c r="AH738" s="329" t="s">
        <v>619</v>
      </c>
      <c r="AI738" s="341" t="e">
        <f>#REF!</f>
        <v>#REF!</v>
      </c>
    </row>
    <row r="739" spans="4:43" ht="27.75" customHeight="1">
      <c r="D739" s="1">
        <v>37</v>
      </c>
      <c r="AC739" s="900" t="s">
        <v>953</v>
      </c>
      <c r="AD739" s="900"/>
      <c r="AE739" s="900"/>
      <c r="AF739" s="900"/>
      <c r="AG739" s="900"/>
      <c r="AH739" s="329" t="s">
        <v>619</v>
      </c>
      <c r="AI739" s="341" t="e">
        <f>#REF!</f>
        <v>#REF!</v>
      </c>
    </row>
    <row r="740" spans="4:43" ht="13.5" customHeight="1">
      <c r="D740" s="1">
        <v>18</v>
      </c>
      <c r="AC740" s="900" t="s">
        <v>987</v>
      </c>
      <c r="AD740" s="900"/>
      <c r="AE740" s="900"/>
      <c r="AF740" s="900"/>
      <c r="AG740" s="900"/>
      <c r="AH740" s="329" t="s">
        <v>619</v>
      </c>
      <c r="AI740" s="341" t="e">
        <f>#REF!</f>
        <v>#REF!</v>
      </c>
    </row>
    <row r="741" spans="4:43" ht="29.25" customHeight="1">
      <c r="D741" s="1">
        <v>39</v>
      </c>
      <c r="AC741" s="900" t="str">
        <f>"Корректировки необходимой валовой выручки на основе фактических данных за "&amp;PRD-2&amp;" года"</f>
        <v>Корректировки необходимой валовой выручки на основе фактических данных за 2024 года</v>
      </c>
      <c r="AD741" s="900"/>
      <c r="AE741" s="900"/>
      <c r="AF741" s="900"/>
      <c r="AG741" s="900"/>
      <c r="AH741" s="329" t="s">
        <v>619</v>
      </c>
      <c r="AI741" s="341" t="e">
        <f>#REF!</f>
        <v>#REF!</v>
      </c>
    </row>
    <row r="742" spans="4:43" ht="18" customHeight="1">
      <c r="D742" s="1">
        <v>24</v>
      </c>
      <c r="AC742" s="900" t="s">
        <v>1614</v>
      </c>
      <c r="AD742" s="900"/>
      <c r="AE742" s="900"/>
      <c r="AF742" s="900"/>
      <c r="AG742" s="900"/>
      <c r="AH742" s="329" t="s">
        <v>619</v>
      </c>
      <c r="AI742" s="341" t="e">
        <f>#REF!</f>
        <v>#REF!</v>
      </c>
    </row>
    <row r="743" spans="4:43" ht="27" customHeight="1">
      <c r="D743" s="1">
        <v>36</v>
      </c>
      <c r="AC743" s="993" t="s">
        <v>1615</v>
      </c>
      <c r="AD743" s="993"/>
      <c r="AE743" s="993"/>
      <c r="AF743" s="993"/>
      <c r="AG743" s="993"/>
      <c r="AH743" s="329" t="s">
        <v>619</v>
      </c>
      <c r="AI743" s="341">
        <f>IFERROR(#REF!,0)</f>
        <v>0</v>
      </c>
    </row>
    <row r="744" spans="4:43" ht="13.5" customHeight="1">
      <c r="D744" s="1">
        <v>18</v>
      </c>
    </row>
    <row r="745" spans="4:43" ht="45.75" customHeight="1">
      <c r="D745" s="1">
        <v>61</v>
      </c>
      <c r="AB745" s="992" t="str">
        <f>"Величина необходимой валовой выручки, обеспечивающая компенсацию экономически обоснованных расходов на осуществление деятельности по передаче электрической энергии по сетям "&amp;PRD&amp;" гг. составила:"</f>
        <v>Величина необходимой валовой выручки, обеспечивающая компенсацию экономически обоснованных расходов на осуществление деятельности по передаче электрической энергии по сетям 2026 гг. составила:</v>
      </c>
      <c r="AC745" s="992"/>
      <c r="AD745" s="992"/>
      <c r="AE745" s="992"/>
      <c r="AF745" s="992"/>
      <c r="AG745" s="992"/>
      <c r="AH745" s="992"/>
      <c r="AI745" s="992"/>
      <c r="AJ745" s="992"/>
      <c r="AK745" s="992"/>
      <c r="AL745" s="992"/>
      <c r="AM745" s="992"/>
      <c r="AN745" s="992"/>
      <c r="AO745" s="992"/>
      <c r="AP745" s="992"/>
      <c r="AQ745" s="992"/>
    </row>
    <row r="746" spans="4:43" ht="27.75" customHeight="1">
      <c r="D746" s="1">
        <v>37</v>
      </c>
      <c r="AC746" s="976"/>
      <c r="AD746" s="976"/>
      <c r="AE746" s="976"/>
      <c r="AF746" s="976"/>
      <c r="AG746" s="976"/>
      <c r="AH746" s="976"/>
      <c r="AI746" s="312" t="str">
        <f>"Утверждено "&amp;PRD&amp;" год"</f>
        <v>Утверждено 2026 год</v>
      </c>
    </row>
    <row r="747" spans="4:43" ht="13.5" customHeight="1">
      <c r="D747" s="1">
        <v>18</v>
      </c>
      <c r="AC747" s="993" t="s">
        <v>1616</v>
      </c>
      <c r="AD747" s="993"/>
      <c r="AE747" s="993"/>
      <c r="AF747" s="993"/>
      <c r="AG747" s="993"/>
      <c r="AH747" s="329" t="s">
        <v>619</v>
      </c>
      <c r="AI747" s="341" t="e">
        <f>#REF!</f>
        <v>#REF!</v>
      </c>
    </row>
    <row r="748" spans="4:43" ht="13.5" customHeight="1">
      <c r="D748" s="1">
        <v>18</v>
      </c>
    </row>
    <row r="749" spans="4:43" ht="24" customHeight="1">
      <c r="D749" s="1">
        <v>32</v>
      </c>
      <c r="AB749" s="992" t="str">
        <f>"Величина тарифов, обеспечивающая компенсацию экономически обоснованных расходов на осуществление деятельности по передаче электрической энергии по сетям "&amp;'Форма раскрытия информации'!AD31&amp;" на "&amp;PRD&amp;" гг. составила:"</f>
        <v>Величина тарифов, обеспечивающая компенсацию экономически обоснованных расходов на осуществление деятельности по передаче электрической энергии по сетям МУП "Горэлектросети" на 2026 гг. составила:</v>
      </c>
      <c r="AC749" s="992"/>
      <c r="AD749" s="992"/>
      <c r="AE749" s="992"/>
      <c r="AF749" s="992"/>
      <c r="AG749" s="992"/>
      <c r="AH749" s="992"/>
      <c r="AI749" s="992"/>
      <c r="AJ749" s="992"/>
      <c r="AK749" s="992"/>
      <c r="AL749" s="992"/>
      <c r="AM749" s="992"/>
      <c r="AN749" s="992"/>
      <c r="AO749" s="992"/>
      <c r="AP749" s="992"/>
      <c r="AQ749" s="992"/>
    </row>
    <row r="750" spans="4:43" ht="13.5" customHeight="1">
      <c r="D750" s="1">
        <v>18</v>
      </c>
      <c r="AD750" s="976" t="str">
        <f>Титульный!AC53&amp;" - "&amp;Титульный!AC27</f>
        <v>Филиал ПАО "Россети Сибирь" - МУП "Горэлектросети"</v>
      </c>
      <c r="AE750" s="976"/>
      <c r="AF750" s="976"/>
      <c r="AG750" s="976"/>
      <c r="AH750" s="903" t="s">
        <v>1617</v>
      </c>
      <c r="AI750" s="903"/>
      <c r="AJ750" s="903"/>
      <c r="AK750" s="903"/>
      <c r="AL750" s="903"/>
      <c r="AM750" s="903"/>
    </row>
    <row r="751" spans="4:43" ht="13.5" customHeight="1">
      <c r="D751" s="1">
        <v>18</v>
      </c>
      <c r="AD751" s="976"/>
      <c r="AE751" s="976"/>
      <c r="AF751" s="976"/>
      <c r="AG751" s="976"/>
      <c r="AH751" s="903" t="s">
        <v>928</v>
      </c>
      <c r="AI751" s="903"/>
      <c r="AJ751" s="903"/>
      <c r="AK751" s="903" t="s">
        <v>929</v>
      </c>
      <c r="AL751" s="903"/>
      <c r="AM751" s="903"/>
    </row>
    <row r="752" spans="4:43" ht="13.5" customHeight="1">
      <c r="D752" s="1">
        <v>18</v>
      </c>
      <c r="AD752" s="976"/>
      <c r="AE752" s="976"/>
      <c r="AF752" s="976"/>
      <c r="AG752" s="976"/>
      <c r="AH752" s="903" t="s">
        <v>1618</v>
      </c>
      <c r="AI752" s="903" t="s">
        <v>1619</v>
      </c>
      <c r="AJ752" s="903"/>
      <c r="AK752" s="903" t="s">
        <v>1618</v>
      </c>
      <c r="AL752" s="903" t="s">
        <v>1619</v>
      </c>
      <c r="AM752" s="903"/>
    </row>
    <row r="753" spans="4:43" ht="55.5" customHeight="1">
      <c r="D753" s="1">
        <v>74</v>
      </c>
      <c r="AD753" s="976"/>
      <c r="AE753" s="976"/>
      <c r="AF753" s="976"/>
      <c r="AG753" s="976"/>
      <c r="AH753" s="903"/>
      <c r="AI753" s="313" t="s">
        <v>1620</v>
      </c>
      <c r="AJ753" s="313" t="s">
        <v>1621</v>
      </c>
      <c r="AK753" s="903"/>
      <c r="AL753" s="313" t="s">
        <v>1620</v>
      </c>
      <c r="AM753" s="313" t="s">
        <v>1621</v>
      </c>
    </row>
    <row r="754" spans="4:43" ht="24" customHeight="1">
      <c r="D754" s="1">
        <v>32</v>
      </c>
      <c r="AD754" s="920">
        <f>PRD</f>
        <v>2026</v>
      </c>
      <c r="AE754" s="994"/>
      <c r="AF754" s="994"/>
      <c r="AG754" s="921"/>
      <c r="AH754" s="351"/>
      <c r="AI754" s="351"/>
      <c r="AJ754" s="351"/>
      <c r="AK754" s="351"/>
      <c r="AL754" s="351"/>
      <c r="AM754" s="351"/>
    </row>
    <row r="755" spans="4:43" ht="13.5" customHeight="1">
      <c r="D755" s="1">
        <v>18</v>
      </c>
    </row>
    <row r="756" spans="4:43" ht="13.5" customHeight="1">
      <c r="D756">
        <v>18</v>
      </c>
    </row>
    <row r="757" spans="4:43" ht="13.5" customHeight="1">
      <c r="D757">
        <v>18</v>
      </c>
    </row>
    <row r="758" spans="4:43" ht="13.5" customHeight="1">
      <c r="D758">
        <v>18</v>
      </c>
    </row>
    <row r="759" spans="4:43" ht="33.75" customHeight="1">
      <c r="D759" s="1">
        <v>45</v>
      </c>
      <c r="AB759" s="959"/>
      <c r="AC759" s="959"/>
      <c r="AD759" s="959"/>
      <c r="AE759" s="959"/>
      <c r="AF759" s="959"/>
      <c r="AG759" s="959"/>
      <c r="AH759" s="959"/>
      <c r="AJ759" s="959"/>
      <c r="AK759" s="959"/>
      <c r="AL759" s="959"/>
      <c r="AM759" s="959"/>
      <c r="AN759" s="959"/>
      <c r="AO759" s="959"/>
      <c r="AP759" s="959"/>
      <c r="AQ759" s="959"/>
    </row>
    <row r="760" spans="4:43" ht="13.5" customHeight="1">
      <c r="D760">
        <v>18</v>
      </c>
    </row>
    <row r="761" spans="4:43" ht="13.5" customHeight="1">
      <c r="D761">
        <v>18</v>
      </c>
    </row>
    <row r="762" spans="4:43" ht="13.5" customHeight="1">
      <c r="D762" s="1">
        <v>18</v>
      </c>
      <c r="AB762" s="290" t="s">
        <v>1622</v>
      </c>
    </row>
    <row r="763" spans="4:43" ht="33.75" customHeight="1">
      <c r="D763" s="1">
        <v>45</v>
      </c>
      <c r="AB763" s="896"/>
      <c r="AC763" s="896"/>
      <c r="AD763" s="896"/>
      <c r="AE763" s="896"/>
      <c r="AF763" s="896"/>
      <c r="AG763" s="896"/>
      <c r="AH763" s="896"/>
      <c r="AJ763" s="896"/>
      <c r="AK763" s="896"/>
      <c r="AL763" s="896"/>
      <c r="AM763" s="896"/>
      <c r="AN763" s="896"/>
      <c r="AO763" s="896"/>
      <c r="AP763" s="896"/>
      <c r="AQ763" s="896"/>
    </row>
    <row r="764" spans="4:43" ht="13.5" customHeight="1">
      <c r="D764">
        <v>18</v>
      </c>
    </row>
    <row r="765" spans="4:43" ht="33.75" customHeight="1">
      <c r="D765" s="1">
        <v>45</v>
      </c>
      <c r="AB765" s="896"/>
      <c r="AC765" s="896"/>
      <c r="AD765" s="896"/>
      <c r="AE765" s="896"/>
      <c r="AF765" s="896"/>
      <c r="AG765" s="896"/>
      <c r="AH765" s="896"/>
      <c r="AJ765" s="896"/>
      <c r="AK765" s="896"/>
      <c r="AL765" s="896"/>
      <c r="AM765" s="896"/>
      <c r="AN765" s="896"/>
      <c r="AO765" s="896"/>
      <c r="AP765" s="896"/>
      <c r="AQ765" s="896"/>
    </row>
    <row r="766" spans="4:43" ht="13.5" customHeight="1">
      <c r="D766">
        <v>18</v>
      </c>
    </row>
    <row r="767" spans="4:43" ht="33.75" customHeight="1">
      <c r="D767" s="1">
        <v>45</v>
      </c>
      <c r="AB767" s="896"/>
      <c r="AC767" s="896"/>
      <c r="AD767" s="896"/>
      <c r="AE767" s="896"/>
      <c r="AF767" s="896"/>
      <c r="AG767" s="896"/>
      <c r="AH767" s="896"/>
      <c r="AJ767" s="896"/>
      <c r="AK767" s="896"/>
      <c r="AL767" s="896"/>
      <c r="AM767" s="896"/>
      <c r="AN767" s="896"/>
      <c r="AO767" s="896"/>
      <c r="AP767" s="896"/>
      <c r="AQ767" s="896"/>
    </row>
    <row r="768" spans="4:43" ht="13.5" customHeight="1">
      <c r="D768">
        <v>18</v>
      </c>
    </row>
    <row r="769" spans="4:47" ht="33.75" customHeight="1">
      <c r="D769">
        <v>45</v>
      </c>
      <c r="AB769" s="896"/>
      <c r="AC769" s="896"/>
      <c r="AD769" s="896"/>
      <c r="AE769" s="896"/>
      <c r="AF769" s="896"/>
      <c r="AG769" s="896"/>
      <c r="AH769" s="896"/>
      <c r="AJ769" s="896"/>
      <c r="AK769" s="896"/>
      <c r="AL769" s="896"/>
      <c r="AM769" s="896"/>
      <c r="AN769" s="896"/>
      <c r="AO769" s="896"/>
      <c r="AP769" s="896"/>
      <c r="AQ769" s="896"/>
    </row>
    <row r="770" spans="4:47" ht="11.25" hidden="1" customHeight="1">
      <c r="D770">
        <v>0</v>
      </c>
      <c r="AU770" t="s">
        <v>42</v>
      </c>
    </row>
  </sheetData>
  <sheetProtection formatColumns="0" formatRows="0" insertRows="0" deleteColumns="0" deleteRows="0" sort="0" autoFilter="0"/>
  <mergeCells count="781">
    <mergeCell ref="AB191:AH191"/>
    <mergeCell ref="AB192:AH192"/>
    <mergeCell ref="AB193:AH193"/>
    <mergeCell ref="AB194:AH194"/>
    <mergeCell ref="AB196:AH196"/>
    <mergeCell ref="AB197:AH197"/>
    <mergeCell ref="AB198:AH198"/>
    <mergeCell ref="AB657:AQ657"/>
    <mergeCell ref="AC337:AF337"/>
    <mergeCell ref="AB340:AQ340"/>
    <mergeCell ref="AB342:AQ342"/>
    <mergeCell ref="AB343:AQ343"/>
    <mergeCell ref="AB344:AQ344"/>
    <mergeCell ref="AC331:AF331"/>
    <mergeCell ref="AC332:AF332"/>
    <mergeCell ref="AC333:AF333"/>
    <mergeCell ref="AC334:AF334"/>
    <mergeCell ref="AC335:AF335"/>
    <mergeCell ref="AC336:AF336"/>
    <mergeCell ref="AC338:AF338"/>
    <mergeCell ref="AC339:AF339"/>
    <mergeCell ref="AB326:AQ326"/>
    <mergeCell ref="AB327:AQ327"/>
    <mergeCell ref="AB328:AQ328"/>
    <mergeCell ref="AB329:AQ329"/>
    <mergeCell ref="AC330:AG330"/>
    <mergeCell ref="AB317:AQ317"/>
    <mergeCell ref="AB319:AQ319"/>
    <mergeCell ref="AB321:AQ321"/>
    <mergeCell ref="AB323:AQ323"/>
    <mergeCell ref="AB324:AQ324"/>
    <mergeCell ref="AB325:AQ325"/>
    <mergeCell ref="AC305:AD305"/>
    <mergeCell ref="AB311:AQ311"/>
    <mergeCell ref="AB312:AQ312"/>
    <mergeCell ref="AB314:AQ314"/>
    <mergeCell ref="AB315:AQ315"/>
    <mergeCell ref="AB316:AQ316"/>
    <mergeCell ref="AC309:AD309"/>
    <mergeCell ref="AB299:AQ299"/>
    <mergeCell ref="AB300:AD301"/>
    <mergeCell ref="AE300:AE301"/>
    <mergeCell ref="AC302:AD302"/>
    <mergeCell ref="AC303:AD303"/>
    <mergeCell ref="AC304:AD304"/>
    <mergeCell ref="AC306:AD306"/>
    <mergeCell ref="AC307:AD307"/>
    <mergeCell ref="AC308:AD308"/>
    <mergeCell ref="AB293:AT293"/>
    <mergeCell ref="AB294:AT294"/>
    <mergeCell ref="AB295:AT295"/>
    <mergeCell ref="AB296:AT296"/>
    <mergeCell ref="AB297:AT297"/>
    <mergeCell ref="AB298:AT298"/>
    <mergeCell ref="AB287:AT287"/>
    <mergeCell ref="AB288:AT288"/>
    <mergeCell ref="AB289:AT289"/>
    <mergeCell ref="AB290:AT290"/>
    <mergeCell ref="AB291:AT291"/>
    <mergeCell ref="AB292:AQ292"/>
    <mergeCell ref="AB281:AQ281"/>
    <mergeCell ref="AB282:AT282"/>
    <mergeCell ref="AB283:AT283"/>
    <mergeCell ref="AB284:AT284"/>
    <mergeCell ref="AB285:AT285"/>
    <mergeCell ref="AB286:AQ286"/>
    <mergeCell ref="AB275:AQ275"/>
    <mergeCell ref="AB276:AT276"/>
    <mergeCell ref="AB277:AT277"/>
    <mergeCell ref="AB278:AT278"/>
    <mergeCell ref="AB279:AT279"/>
    <mergeCell ref="AB280:AT280"/>
    <mergeCell ref="AB271:AI271"/>
    <mergeCell ref="AJ271:AK271"/>
    <mergeCell ref="AB272:AI272"/>
    <mergeCell ref="AJ272:AK272"/>
    <mergeCell ref="AB273:AQ273"/>
    <mergeCell ref="AB274:AQ274"/>
    <mergeCell ref="AB268:AI268"/>
    <mergeCell ref="AJ268:AK268"/>
    <mergeCell ref="AB269:AI269"/>
    <mergeCell ref="AJ269:AK269"/>
    <mergeCell ref="AB270:AI270"/>
    <mergeCell ref="AJ270:AK270"/>
    <mergeCell ref="AB263:AQ263"/>
    <mergeCell ref="AB264:AQ264"/>
    <mergeCell ref="AB265:AT265"/>
    <mergeCell ref="AB266:AT266"/>
    <mergeCell ref="AB267:AI267"/>
    <mergeCell ref="AJ267:AK267"/>
    <mergeCell ref="AC256:AD256"/>
    <mergeCell ref="AC257:AD257"/>
    <mergeCell ref="AC258:AD258"/>
    <mergeCell ref="AC259:AD259"/>
    <mergeCell ref="AB260:AQ260"/>
    <mergeCell ref="AB262:AQ262"/>
    <mergeCell ref="AB250:AK250"/>
    <mergeCell ref="AC251:AD251"/>
    <mergeCell ref="AC252:AF252"/>
    <mergeCell ref="AC253:AD253"/>
    <mergeCell ref="AC254:AD254"/>
    <mergeCell ref="AC255:AD255"/>
    <mergeCell ref="AB245:AC245"/>
    <mergeCell ref="AB246:AQ246"/>
    <mergeCell ref="AB247:AQ247"/>
    <mergeCell ref="AB248:AI248"/>
    <mergeCell ref="AJ248:AR248"/>
    <mergeCell ref="AB249:AQ249"/>
    <mergeCell ref="AB239:AQ239"/>
    <mergeCell ref="AB240:AQ240"/>
    <mergeCell ref="AB241:AC241"/>
    <mergeCell ref="AB242:AC242"/>
    <mergeCell ref="AB243:AC243"/>
    <mergeCell ref="AB244:AC244"/>
    <mergeCell ref="AB233:AC233"/>
    <mergeCell ref="AB234:AC234"/>
    <mergeCell ref="AB235:AC235"/>
    <mergeCell ref="AB236:AC236"/>
    <mergeCell ref="AB237:AC237"/>
    <mergeCell ref="AB238:AQ238"/>
    <mergeCell ref="AC227:AO227"/>
    <mergeCell ref="AP227:AQ227"/>
    <mergeCell ref="AB229:AQ229"/>
    <mergeCell ref="AB230:AT230"/>
    <mergeCell ref="AB231:AQ231"/>
    <mergeCell ref="AB232:AQ232"/>
    <mergeCell ref="AC224:AO224"/>
    <mergeCell ref="AP224:AQ224"/>
    <mergeCell ref="AC225:AO225"/>
    <mergeCell ref="AP225:AQ225"/>
    <mergeCell ref="AC226:AO226"/>
    <mergeCell ref="AP226:AQ226"/>
    <mergeCell ref="AC221:AO221"/>
    <mergeCell ref="AP221:AQ221"/>
    <mergeCell ref="AC222:AO222"/>
    <mergeCell ref="AP222:AQ222"/>
    <mergeCell ref="AC223:AO223"/>
    <mergeCell ref="AP223:AQ223"/>
    <mergeCell ref="AC218:AO218"/>
    <mergeCell ref="AP218:AQ218"/>
    <mergeCell ref="AC219:AO219"/>
    <mergeCell ref="AP219:AQ219"/>
    <mergeCell ref="AC220:AO220"/>
    <mergeCell ref="AP220:AQ220"/>
    <mergeCell ref="AB210:AT210"/>
    <mergeCell ref="AB211:AT211"/>
    <mergeCell ref="AB212:AT212"/>
    <mergeCell ref="AB213:AT213"/>
    <mergeCell ref="AB214:AT214"/>
    <mergeCell ref="AB216:AQ216"/>
    <mergeCell ref="AB204:AT204"/>
    <mergeCell ref="AB205:AI205"/>
    <mergeCell ref="AB206:AI206"/>
    <mergeCell ref="AB207:AT207"/>
    <mergeCell ref="AB208:AI208"/>
    <mergeCell ref="AB209:AT209"/>
    <mergeCell ref="AB199:AT199"/>
    <mergeCell ref="AB200:AI200"/>
    <mergeCell ref="AM200:AN200"/>
    <mergeCell ref="AB201:AT201"/>
    <mergeCell ref="AB202:AT202"/>
    <mergeCell ref="AB203:AI203"/>
    <mergeCell ref="AL193:AM193"/>
    <mergeCell ref="AL194:AM194"/>
    <mergeCell ref="AB195:AT195"/>
    <mergeCell ref="AL196:AM196"/>
    <mergeCell ref="AL197:AM197"/>
    <mergeCell ref="AL198:AM198"/>
    <mergeCell ref="AC172:AG172"/>
    <mergeCell ref="AB174:AK174"/>
    <mergeCell ref="AB177:AT177"/>
    <mergeCell ref="AB184:AT184"/>
    <mergeCell ref="AL188:AM188"/>
    <mergeCell ref="AL192:AM192"/>
    <mergeCell ref="AC166:AG166"/>
    <mergeCell ref="AC167:AG167"/>
    <mergeCell ref="AC168:AG168"/>
    <mergeCell ref="AC169:AG169"/>
    <mergeCell ref="AC170:AG170"/>
    <mergeCell ref="AC171:AG171"/>
    <mergeCell ref="AB175:AK175"/>
    <mergeCell ref="AB178:AK178"/>
    <mergeCell ref="AB179:AK179"/>
    <mergeCell ref="AB180:AK180"/>
    <mergeCell ref="AB182:AK182"/>
    <mergeCell ref="AB183:AK183"/>
    <mergeCell ref="AB185:AK185"/>
    <mergeCell ref="AB186:AK186"/>
    <mergeCell ref="AB187:AK187"/>
    <mergeCell ref="AB188:AH188"/>
    <mergeCell ref="AB189:AH189"/>
    <mergeCell ref="AB190:AH190"/>
    <mergeCell ref="AC160:AG160"/>
    <mergeCell ref="AC161:AG161"/>
    <mergeCell ref="AC162:AG162"/>
    <mergeCell ref="AC163:AG163"/>
    <mergeCell ref="AC164:AG164"/>
    <mergeCell ref="AC165:AG165"/>
    <mergeCell ref="AC154:AG154"/>
    <mergeCell ref="AC155:AG155"/>
    <mergeCell ref="AC156:AG156"/>
    <mergeCell ref="AC157:AG157"/>
    <mergeCell ref="AC158:AG158"/>
    <mergeCell ref="AC159:AG159"/>
    <mergeCell ref="AC148:AG148"/>
    <mergeCell ref="AC149:AG149"/>
    <mergeCell ref="AC150:AG150"/>
    <mergeCell ref="AC151:AG151"/>
    <mergeCell ref="AC152:AG152"/>
    <mergeCell ref="AC153:AG153"/>
    <mergeCell ref="AC142:AG142"/>
    <mergeCell ref="AC143:AG143"/>
    <mergeCell ref="AC144:AG144"/>
    <mergeCell ref="AC145:AG145"/>
    <mergeCell ref="AC146:AG146"/>
    <mergeCell ref="AC147:AG147"/>
    <mergeCell ref="AC136:AG136"/>
    <mergeCell ref="AC137:AG137"/>
    <mergeCell ref="AC138:AG138"/>
    <mergeCell ref="AC139:AG139"/>
    <mergeCell ref="AC140:AG140"/>
    <mergeCell ref="AC141:AG141"/>
    <mergeCell ref="AG123:AQ123"/>
    <mergeCell ref="AG124:AQ124"/>
    <mergeCell ref="AG126:AQ126"/>
    <mergeCell ref="AG128:AQ128"/>
    <mergeCell ref="AB130:AT130"/>
    <mergeCell ref="AG132:AQ132"/>
    <mergeCell ref="AB126:AF126"/>
    <mergeCell ref="AB128:AF128"/>
    <mergeCell ref="AB131:AF131"/>
    <mergeCell ref="AB132:AF132"/>
    <mergeCell ref="AB134:AF134"/>
    <mergeCell ref="AB119:AF119"/>
    <mergeCell ref="AG119:AQ119"/>
    <mergeCell ref="AB120:AF120"/>
    <mergeCell ref="AG120:AQ120"/>
    <mergeCell ref="AG121:AQ121"/>
    <mergeCell ref="AG122:AQ122"/>
    <mergeCell ref="AB116:AF116"/>
    <mergeCell ref="AG116:AQ116"/>
    <mergeCell ref="AB117:AF117"/>
    <mergeCell ref="AG117:AQ117"/>
    <mergeCell ref="AB118:AF118"/>
    <mergeCell ref="AG118:AQ118"/>
    <mergeCell ref="AB108:AT108"/>
    <mergeCell ref="AB109:AT109"/>
    <mergeCell ref="AB110:AT110"/>
    <mergeCell ref="AB111:AT111"/>
    <mergeCell ref="AB113:AQ113"/>
    <mergeCell ref="AB115:AQ115"/>
    <mergeCell ref="AB102:AT102"/>
    <mergeCell ref="AB103:AT103"/>
    <mergeCell ref="AB104:AT104"/>
    <mergeCell ref="AB105:AT105"/>
    <mergeCell ref="AB106:AT106"/>
    <mergeCell ref="AB107:AS107"/>
    <mergeCell ref="AB95:AT95"/>
    <mergeCell ref="AB96:AT96"/>
    <mergeCell ref="AB97:AT97"/>
    <mergeCell ref="AB98:AT98"/>
    <mergeCell ref="AB100:AT100"/>
    <mergeCell ref="AB101:AT101"/>
    <mergeCell ref="AB88:AT88"/>
    <mergeCell ref="AB89:AT89"/>
    <mergeCell ref="AB90:AT90"/>
    <mergeCell ref="AB91:AT91"/>
    <mergeCell ref="AB93:AQ93"/>
    <mergeCell ref="AB94:AT94"/>
    <mergeCell ref="AB82:AT82"/>
    <mergeCell ref="AB83:AT83"/>
    <mergeCell ref="AB84:AT84"/>
    <mergeCell ref="AB85:AT85"/>
    <mergeCell ref="AC86:AD86"/>
    <mergeCell ref="AF86:AG86"/>
    <mergeCell ref="AB73:AT73"/>
    <mergeCell ref="AB75:AT75"/>
    <mergeCell ref="AB76:AQ76"/>
    <mergeCell ref="AB78:AT78"/>
    <mergeCell ref="AB80:AT80"/>
    <mergeCell ref="AB81:AQ81"/>
    <mergeCell ref="AB79:AT79"/>
    <mergeCell ref="AB63:AT63"/>
    <mergeCell ref="AB64:AT64"/>
    <mergeCell ref="AB66:AT66"/>
    <mergeCell ref="AB67:AT67"/>
    <mergeCell ref="AB70:AQ70"/>
    <mergeCell ref="AB72:AT72"/>
    <mergeCell ref="AB59:AF59"/>
    <mergeCell ref="AG59:AQ59"/>
    <mergeCell ref="AB60:AT60"/>
    <mergeCell ref="AC61:AD61"/>
    <mergeCell ref="AF61:AG61"/>
    <mergeCell ref="AB62:AT62"/>
    <mergeCell ref="AB53:AT53"/>
    <mergeCell ref="AB54:AT54"/>
    <mergeCell ref="AB55:AT55"/>
    <mergeCell ref="AB56:AT56"/>
    <mergeCell ref="AB57:AT57"/>
    <mergeCell ref="AB58:AT58"/>
    <mergeCell ref="AB47:AT47"/>
    <mergeCell ref="AB48:AT48"/>
    <mergeCell ref="AB49:AT49"/>
    <mergeCell ref="AB50:AT50"/>
    <mergeCell ref="AB51:AT51"/>
    <mergeCell ref="AB52:AT52"/>
    <mergeCell ref="AB40:AG40"/>
    <mergeCell ref="AH40:AO40"/>
    <mergeCell ref="AB41:AG41"/>
    <mergeCell ref="AH41:AO41"/>
    <mergeCell ref="AB43:AQ43"/>
    <mergeCell ref="AB45:AT45"/>
    <mergeCell ref="AB38:AG38"/>
    <mergeCell ref="AH38:AI38"/>
    <mergeCell ref="AJ38:AK38"/>
    <mergeCell ref="AL38:AM38"/>
    <mergeCell ref="AN38:AO38"/>
    <mergeCell ref="AB39:AG39"/>
    <mergeCell ref="AH39:AI39"/>
    <mergeCell ref="AJ39:AK39"/>
    <mergeCell ref="AL39:AM39"/>
    <mergeCell ref="AN39:AO39"/>
    <mergeCell ref="AB36:AG36"/>
    <mergeCell ref="AH36:AI36"/>
    <mergeCell ref="AJ36:AK36"/>
    <mergeCell ref="AL36:AM36"/>
    <mergeCell ref="AN36:AO36"/>
    <mergeCell ref="AB37:AG37"/>
    <mergeCell ref="AH37:AI37"/>
    <mergeCell ref="AJ37:AK37"/>
    <mergeCell ref="AL37:AM37"/>
    <mergeCell ref="AN37:AO37"/>
    <mergeCell ref="AB31:AF31"/>
    <mergeCell ref="AG31:AQ31"/>
    <mergeCell ref="AR31:AT31"/>
    <mergeCell ref="AB33:AQ33"/>
    <mergeCell ref="AB35:AG35"/>
    <mergeCell ref="AH35:AI35"/>
    <mergeCell ref="AJ35:AK35"/>
    <mergeCell ref="AL35:AM35"/>
    <mergeCell ref="AN35:AO35"/>
    <mergeCell ref="AB30:AF30"/>
    <mergeCell ref="AG30:AQ30"/>
    <mergeCell ref="AB19:AT19"/>
    <mergeCell ref="AG21:AO21"/>
    <mergeCell ref="AB22:AT22"/>
    <mergeCell ref="AG23:AO23"/>
    <mergeCell ref="AB25:AQ25"/>
    <mergeCell ref="AB27:AF27"/>
    <mergeCell ref="AG27:AQ27"/>
    <mergeCell ref="AB7:AT7"/>
    <mergeCell ref="AB8:AT8"/>
    <mergeCell ref="AB9:AT9"/>
    <mergeCell ref="AB10:AT10"/>
    <mergeCell ref="AB11:AT11"/>
    <mergeCell ref="AB12:AT12"/>
    <mergeCell ref="AB28:AF28"/>
    <mergeCell ref="AG28:AQ28"/>
    <mergeCell ref="AB29:AF29"/>
    <mergeCell ref="AG29:AQ29"/>
    <mergeCell ref="AA418:AA419"/>
    <mergeCell ref="AA375:AA376"/>
    <mergeCell ref="AA348:AA349"/>
    <mergeCell ref="AA394:AA395"/>
    <mergeCell ref="AB412:AG412"/>
    <mergeCell ref="AB425:AG425"/>
    <mergeCell ref="AB426:AG426"/>
    <mergeCell ref="AB388:AD388"/>
    <mergeCell ref="AG388:AQ388"/>
    <mergeCell ref="AB390:AD390"/>
    <mergeCell ref="AG390:AQ390"/>
    <mergeCell ref="AI425:AS425"/>
    <mergeCell ref="AI426:AS426"/>
    <mergeCell ref="AB389:AQ389"/>
    <mergeCell ref="AB391:AQ391"/>
    <mergeCell ref="AB392:AQ392"/>
    <mergeCell ref="AB408:AQ408"/>
    <mergeCell ref="AB409:AQ409"/>
    <mergeCell ref="AB410:AQ410"/>
    <mergeCell ref="AB411:AQ411"/>
    <mergeCell ref="AB379:AQ379"/>
    <mergeCell ref="AB380:AQ380"/>
    <mergeCell ref="AB381:AQ381"/>
    <mergeCell ref="AB382:AQ382"/>
    <mergeCell ref="AB383:AQ383"/>
    <mergeCell ref="AB384:AQ384"/>
    <mergeCell ref="AB385:AQ385"/>
    <mergeCell ref="AB450:AQ450"/>
    <mergeCell ref="AB451:AQ451"/>
    <mergeCell ref="AB452:AQ452"/>
    <mergeCell ref="AB453:AQ453"/>
    <mergeCell ref="AB454:AQ454"/>
    <mergeCell ref="AB455:AQ455"/>
    <mergeCell ref="AB413:AQ413"/>
    <mergeCell ref="AB416:AQ416"/>
    <mergeCell ref="AB417:AQ417"/>
    <mergeCell ref="AB418:AQ418"/>
    <mergeCell ref="AB419:AQ419"/>
    <mergeCell ref="AB420:AQ420"/>
    <mergeCell ref="AB424:AQ424"/>
    <mergeCell ref="AB386:AQ386"/>
    <mergeCell ref="AB387:AQ387"/>
    <mergeCell ref="AB405:AQ405"/>
    <mergeCell ref="AB406:AQ406"/>
    <mergeCell ref="AB407:AQ407"/>
    <mergeCell ref="AB414:AQ414"/>
    <mergeCell ref="AB415:AQ415"/>
    <mergeCell ref="AB421:AQ421"/>
    <mergeCell ref="AB456:AQ456"/>
    <mergeCell ref="AB478:AQ478"/>
    <mergeCell ref="AB479:AQ479"/>
    <mergeCell ref="AB480:AQ480"/>
    <mergeCell ref="AB481:AQ481"/>
    <mergeCell ref="AB482:AQ482"/>
    <mergeCell ref="AB487:AQ487"/>
    <mergeCell ref="AB488:AQ488"/>
    <mergeCell ref="AB427:AQ427"/>
    <mergeCell ref="AB428:AQ428"/>
    <mergeCell ref="AB430:AQ430"/>
    <mergeCell ref="AB431:AQ431"/>
    <mergeCell ref="AB432:AQ432"/>
    <mergeCell ref="AB433:AQ433"/>
    <mergeCell ref="AB448:AQ448"/>
    <mergeCell ref="AB449:AQ449"/>
    <mergeCell ref="AB429:AP429"/>
    <mergeCell ref="AB441:AQ441"/>
    <mergeCell ref="AB442:AQ442"/>
    <mergeCell ref="AB443:AQ443"/>
    <mergeCell ref="AB444:AQ444"/>
    <mergeCell ref="AB445:AQ445"/>
    <mergeCell ref="AB446:AQ446"/>
    <mergeCell ref="AB447:AQ447"/>
    <mergeCell ref="AB375:AQ375"/>
    <mergeCell ref="AB376:AQ376"/>
    <mergeCell ref="AB377:AQ377"/>
    <mergeCell ref="AB378:AQ378"/>
    <mergeCell ref="AB352:AQ352"/>
    <mergeCell ref="AB374:AQ374"/>
    <mergeCell ref="AB348:AQ348"/>
    <mergeCell ref="AB349:AQ349"/>
    <mergeCell ref="AB350:AQ350"/>
    <mergeCell ref="AB351:AQ351"/>
    <mergeCell ref="AB353:AQ353"/>
    <mergeCell ref="AC354:AE354"/>
    <mergeCell ref="AC355:AE355"/>
    <mergeCell ref="AG355:AH355"/>
    <mergeCell ref="AI355:AJ355"/>
    <mergeCell ref="AC356:AE356"/>
    <mergeCell ref="AG356:AH356"/>
    <mergeCell ref="AI356:AJ356"/>
    <mergeCell ref="AC357:AE357"/>
    <mergeCell ref="AG357:AH357"/>
    <mergeCell ref="AI357:AJ357"/>
    <mergeCell ref="AC358:AE358"/>
    <mergeCell ref="AG358:AH358"/>
    <mergeCell ref="AI358:AJ358"/>
    <mergeCell ref="AC359:AE359"/>
    <mergeCell ref="AG359:AH359"/>
    <mergeCell ref="AI359:AJ359"/>
    <mergeCell ref="AC360:AE360"/>
    <mergeCell ref="AG360:AH360"/>
    <mergeCell ref="AI360:AJ360"/>
    <mergeCell ref="AC361:AE361"/>
    <mergeCell ref="AG361:AH361"/>
    <mergeCell ref="AI361:AJ361"/>
    <mergeCell ref="AC362:AE362"/>
    <mergeCell ref="AG362:AH362"/>
    <mergeCell ref="AI362:AJ362"/>
    <mergeCell ref="AC363:AE363"/>
    <mergeCell ref="AG363:AH363"/>
    <mergeCell ref="AI363:AJ363"/>
    <mergeCell ref="AC364:AE364"/>
    <mergeCell ref="AG364:AH364"/>
    <mergeCell ref="AI364:AJ364"/>
    <mergeCell ref="AG368:AH368"/>
    <mergeCell ref="AI368:AJ368"/>
    <mergeCell ref="AC369:AE369"/>
    <mergeCell ref="AG369:AH369"/>
    <mergeCell ref="AI369:AJ369"/>
    <mergeCell ref="AC370:AE370"/>
    <mergeCell ref="AG370:AH370"/>
    <mergeCell ref="AI370:AJ370"/>
    <mergeCell ref="AC365:AE365"/>
    <mergeCell ref="AG365:AH365"/>
    <mergeCell ref="AI365:AJ365"/>
    <mergeCell ref="AC366:AE366"/>
    <mergeCell ref="AG366:AH366"/>
    <mergeCell ref="AI366:AJ366"/>
    <mergeCell ref="AC367:AE367"/>
    <mergeCell ref="AG367:AH367"/>
    <mergeCell ref="AI367:AJ367"/>
    <mergeCell ref="AG354:AH354"/>
    <mergeCell ref="AI354:AJ354"/>
    <mergeCell ref="AB398:AQ398"/>
    <mergeCell ref="AB399:AQ399"/>
    <mergeCell ref="AB400:AQ400"/>
    <mergeCell ref="AB401:AQ401"/>
    <mergeCell ref="AB402:AQ402"/>
    <mergeCell ref="AB403:AQ403"/>
    <mergeCell ref="AB404:AQ404"/>
    <mergeCell ref="AB394:AQ394"/>
    <mergeCell ref="AB395:AQ395"/>
    <mergeCell ref="AB396:AQ396"/>
    <mergeCell ref="AB397:AQ397"/>
    <mergeCell ref="AB393:AQ393"/>
    <mergeCell ref="AC371:AE371"/>
    <mergeCell ref="AG371:AH371"/>
    <mergeCell ref="AI371:AJ371"/>
    <mergeCell ref="AC372:AE372"/>
    <mergeCell ref="AG372:AH372"/>
    <mergeCell ref="AI372:AJ372"/>
    <mergeCell ref="AC373:AE373"/>
    <mergeCell ref="AG373:AH373"/>
    <mergeCell ref="AI373:AJ373"/>
    <mergeCell ref="AC368:AE368"/>
    <mergeCell ref="AB422:AQ422"/>
    <mergeCell ref="AB423:AQ423"/>
    <mergeCell ref="AB434:AQ434"/>
    <mergeCell ref="AB435:AQ435"/>
    <mergeCell ref="AB436:AQ436"/>
    <mergeCell ref="AB437:AQ437"/>
    <mergeCell ref="AB438:AQ438"/>
    <mergeCell ref="AB439:AQ439"/>
    <mergeCell ref="AB440:AQ440"/>
    <mergeCell ref="AB457:AQ457"/>
    <mergeCell ref="AB458:AQ458"/>
    <mergeCell ref="AB459:AQ459"/>
    <mergeCell ref="AB460:AQ460"/>
    <mergeCell ref="AB461:AQ461"/>
    <mergeCell ref="AB462:AQ462"/>
    <mergeCell ref="AB463:AQ463"/>
    <mergeCell ref="AB464:AQ464"/>
    <mergeCell ref="AB465:AQ465"/>
    <mergeCell ref="AB466:AQ466"/>
    <mergeCell ref="AB467:AQ467"/>
    <mergeCell ref="AB468:AQ468"/>
    <mergeCell ref="AB469:AQ469"/>
    <mergeCell ref="AB470:AQ470"/>
    <mergeCell ref="AB471:AQ471"/>
    <mergeCell ref="AB472:AQ472"/>
    <mergeCell ref="AB473:AQ473"/>
    <mergeCell ref="AB474:AQ474"/>
    <mergeCell ref="AB475:AQ475"/>
    <mergeCell ref="AB476:AQ476"/>
    <mergeCell ref="AB477:AQ477"/>
    <mergeCell ref="AB483:AQ483"/>
    <mergeCell ref="AB484:AQ484"/>
    <mergeCell ref="AB485:AQ485"/>
    <mergeCell ref="AB486:AQ486"/>
    <mergeCell ref="AB490:AQ490"/>
    <mergeCell ref="AB491:AQ491"/>
    <mergeCell ref="AB492:AQ492"/>
    <mergeCell ref="AB493:AQ493"/>
    <mergeCell ref="AB494:AQ494"/>
    <mergeCell ref="AB495:AQ495"/>
    <mergeCell ref="AB496:AQ496"/>
    <mergeCell ref="AB497:AQ497"/>
    <mergeCell ref="AB498:AQ498"/>
    <mergeCell ref="AB499:AQ499"/>
    <mergeCell ref="AB500:AQ500"/>
    <mergeCell ref="AB501:AQ501"/>
    <mergeCell ref="AB502:AQ502"/>
    <mergeCell ref="AB503:AQ503"/>
    <mergeCell ref="AB504:AQ504"/>
    <mergeCell ref="AB505:AQ505"/>
    <mergeCell ref="AB506:AQ506"/>
    <mergeCell ref="AB507:AQ507"/>
    <mergeCell ref="AB508:AQ508"/>
    <mergeCell ref="AB509:AQ509"/>
    <mergeCell ref="AB510:AQ510"/>
    <mergeCell ref="AB511:AQ511"/>
    <mergeCell ref="AB512:AQ512"/>
    <mergeCell ref="AB513:AQ513"/>
    <mergeCell ref="AB514:AQ514"/>
    <mergeCell ref="AB515:AQ515"/>
    <mergeCell ref="AB516:AQ516"/>
    <mergeCell ref="AB517:AQ517"/>
    <mergeCell ref="AB518:AQ518"/>
    <mergeCell ref="AB519:AQ519"/>
    <mergeCell ref="AB520:AQ520"/>
    <mergeCell ref="AB521:AQ521"/>
    <mergeCell ref="AB522:AQ522"/>
    <mergeCell ref="AB523:AQ523"/>
    <mergeCell ref="AB524:AQ524"/>
    <mergeCell ref="AB525:AQ525"/>
    <mergeCell ref="AB526:AQ526"/>
    <mergeCell ref="AB527:AQ527"/>
    <mergeCell ref="AB528:AQ528"/>
    <mergeCell ref="AB529:AQ529"/>
    <mergeCell ref="AB530:AQ530"/>
    <mergeCell ref="AB531:AQ531"/>
    <mergeCell ref="AB532:AQ532"/>
    <mergeCell ref="AB533:AQ533"/>
    <mergeCell ref="AB534:AQ534"/>
    <mergeCell ref="AB535:AQ535"/>
    <mergeCell ref="AB536:AQ536"/>
    <mergeCell ref="AB537:AQ537"/>
    <mergeCell ref="AB538:AQ538"/>
    <mergeCell ref="AB539:AQ539"/>
    <mergeCell ref="AB540:AQ540"/>
    <mergeCell ref="AB541:AQ541"/>
    <mergeCell ref="AB542:AQ542"/>
    <mergeCell ref="AB543:AQ543"/>
    <mergeCell ref="AB544:AQ544"/>
    <mergeCell ref="AB545:AQ545"/>
    <mergeCell ref="AB546:AQ546"/>
    <mergeCell ref="AB547:AQ547"/>
    <mergeCell ref="AB548:AQ548"/>
    <mergeCell ref="AB549:AQ549"/>
    <mergeCell ref="AA719:AA720"/>
    <mergeCell ref="AD754:AG754"/>
    <mergeCell ref="AB736:AQ736"/>
    <mergeCell ref="AC739:AG739"/>
    <mergeCell ref="AC740:AG740"/>
    <mergeCell ref="AC741:AG741"/>
    <mergeCell ref="AC738:AG738"/>
    <mergeCell ref="AC737:AH737"/>
    <mergeCell ref="AB733:AQ733"/>
    <mergeCell ref="AB734:AQ734"/>
    <mergeCell ref="AB735:AQ735"/>
    <mergeCell ref="AH751:AJ751"/>
    <mergeCell ref="AK751:AM751"/>
    <mergeCell ref="AB722:AL722"/>
    <mergeCell ref="AM722:AN722"/>
    <mergeCell ref="AP722:AQ722"/>
    <mergeCell ref="AD726:AF726"/>
    <mergeCell ref="AD727:AF727"/>
    <mergeCell ref="AD728:AF728"/>
    <mergeCell ref="AC725:AG725"/>
    <mergeCell ref="AB616:AQ616"/>
    <mergeCell ref="AB618:AQ618"/>
    <mergeCell ref="AB685:AQ685"/>
    <mergeCell ref="AB681:AQ681"/>
    <mergeCell ref="AB682:AQ682"/>
    <mergeCell ref="AB683:AQ683"/>
    <mergeCell ref="AB684:AQ684"/>
    <mergeCell ref="AB677:AQ677"/>
    <mergeCell ref="AB678:AQ678"/>
    <mergeCell ref="AB679:AQ679"/>
    <mergeCell ref="AB680:AQ680"/>
    <mergeCell ref="AB645:AQ645"/>
    <mergeCell ref="AD647:AF647"/>
    <mergeCell ref="AB641:AQ641"/>
    <mergeCell ref="AB642:AQ642"/>
    <mergeCell ref="AB643:AQ643"/>
    <mergeCell ref="AB675:AQ675"/>
    <mergeCell ref="AB676:AQ676"/>
    <mergeCell ref="AD670:AF670"/>
    <mergeCell ref="AB668:AQ668"/>
    <mergeCell ref="AD661:AQ661"/>
    <mergeCell ref="AB661:AC661"/>
    <mergeCell ref="AD613:AG613"/>
    <mergeCell ref="AD648:AF648"/>
    <mergeCell ref="AD650:AF650"/>
    <mergeCell ref="AD651:AF651"/>
    <mergeCell ref="AD652:AF652"/>
    <mergeCell ref="AD653:AF653"/>
    <mergeCell ref="AD585:AF585"/>
    <mergeCell ref="AB596:AQ596"/>
    <mergeCell ref="AB598:AQ598"/>
    <mergeCell ref="AB592:AQ592"/>
    <mergeCell ref="AB594:AQ594"/>
    <mergeCell ref="AB595:AQ595"/>
    <mergeCell ref="AD600:AG600"/>
    <mergeCell ref="AD601:AG601"/>
    <mergeCell ref="AD602:AG602"/>
    <mergeCell ref="AD603:AG603"/>
    <mergeCell ref="AD605:AG605"/>
    <mergeCell ref="AD608:AG608"/>
    <mergeCell ref="AD609:AG609"/>
    <mergeCell ref="AD610:AG610"/>
    <mergeCell ref="AD611:AG611"/>
    <mergeCell ref="AC599:AH599"/>
    <mergeCell ref="AD604:AG604"/>
    <mergeCell ref="AD606:AG606"/>
    <mergeCell ref="AD607:AG607"/>
    <mergeCell ref="AB564:AQ564"/>
    <mergeCell ref="AB565:AQ565"/>
    <mergeCell ref="AB566:AQ566"/>
    <mergeCell ref="AB567:AQ567"/>
    <mergeCell ref="AB568:AQ568"/>
    <mergeCell ref="AB569:AQ569"/>
    <mergeCell ref="AB570:AQ570"/>
    <mergeCell ref="AD584:AF584"/>
    <mergeCell ref="AD577:AF577"/>
    <mergeCell ref="AD578:AF578"/>
    <mergeCell ref="AD579:AF579"/>
    <mergeCell ref="AD580:AF580"/>
    <mergeCell ref="AD581:AF581"/>
    <mergeCell ref="AD582:AF582"/>
    <mergeCell ref="AD583:AF583"/>
    <mergeCell ref="AB769:AH769"/>
    <mergeCell ref="AJ769:AQ769"/>
    <mergeCell ref="AB763:AH763"/>
    <mergeCell ref="AJ763:AQ763"/>
    <mergeCell ref="AB765:AH765"/>
    <mergeCell ref="AJ765:AQ765"/>
    <mergeCell ref="AB767:AH767"/>
    <mergeCell ref="AJ767:AQ767"/>
    <mergeCell ref="AB745:AQ745"/>
    <mergeCell ref="AC747:AG747"/>
    <mergeCell ref="AC746:AH746"/>
    <mergeCell ref="AB759:AH759"/>
    <mergeCell ref="AJ759:AQ759"/>
    <mergeCell ref="AB749:AQ749"/>
    <mergeCell ref="AD750:AG753"/>
    <mergeCell ref="AH750:AM750"/>
    <mergeCell ref="AH752:AH753"/>
    <mergeCell ref="AI752:AJ752"/>
    <mergeCell ref="AB719:AQ719"/>
    <mergeCell ref="AB720:AQ720"/>
    <mergeCell ref="AB721:AQ721"/>
    <mergeCell ref="AB723:AQ723"/>
    <mergeCell ref="AB724:AQ724"/>
    <mergeCell ref="AK752:AK753"/>
    <mergeCell ref="AL752:AM752"/>
    <mergeCell ref="AD671:AF671"/>
    <mergeCell ref="AD672:AF672"/>
    <mergeCell ref="AD673:AF673"/>
    <mergeCell ref="AC742:AG742"/>
    <mergeCell ref="AC743:AG743"/>
    <mergeCell ref="AB730:AQ730"/>
    <mergeCell ref="AD714:AH714"/>
    <mergeCell ref="AD715:AH715"/>
    <mergeCell ref="AD716:AH716"/>
    <mergeCell ref="AD717:AH717"/>
    <mergeCell ref="AB708:AQ708"/>
    <mergeCell ref="AD709:AF709"/>
    <mergeCell ref="AD710:AH710"/>
    <mergeCell ref="AD711:AH711"/>
    <mergeCell ref="AD712:AH712"/>
    <mergeCell ref="AG709:AJ709"/>
    <mergeCell ref="AB686:AQ686"/>
    <mergeCell ref="AD713:AH713"/>
    <mergeCell ref="AB644:AQ644"/>
    <mergeCell ref="AB655:AQ655"/>
    <mergeCell ref="AB656:AQ656"/>
    <mergeCell ref="AB658:AQ658"/>
    <mergeCell ref="AB659:AQ659"/>
    <mergeCell ref="AB660:AQ660"/>
    <mergeCell ref="AB550:AQ550"/>
    <mergeCell ref="AB571:AQ571"/>
    <mergeCell ref="AB572:AQ572"/>
    <mergeCell ref="AB574:AQ574"/>
    <mergeCell ref="AB575:AQ575"/>
    <mergeCell ref="AB576:AQ576"/>
    <mergeCell ref="AC573:AQ573"/>
    <mergeCell ref="AB597:AQ597"/>
    <mergeCell ref="AC593:AQ593"/>
    <mergeCell ref="AB558:AQ558"/>
    <mergeCell ref="AB559:AQ559"/>
    <mergeCell ref="AB560:AQ560"/>
    <mergeCell ref="AB561:AQ561"/>
    <mergeCell ref="AB562:AQ562"/>
    <mergeCell ref="AB563:AQ563"/>
    <mergeCell ref="AB555:AQ555"/>
    <mergeCell ref="AB556:AQ556"/>
    <mergeCell ref="AB551:AQ551"/>
    <mergeCell ref="AB663:AQ663"/>
    <mergeCell ref="AB666:AQ666"/>
    <mergeCell ref="AB667:AQ667"/>
    <mergeCell ref="AC662:AQ662"/>
    <mergeCell ref="AD664:AF664"/>
    <mergeCell ref="AD665:AF665"/>
    <mergeCell ref="AD586:AF586"/>
    <mergeCell ref="AD587:AF587"/>
    <mergeCell ref="AD588:AF588"/>
    <mergeCell ref="AD589:AF589"/>
    <mergeCell ref="AD590:AF590"/>
    <mergeCell ref="AD620:AF620"/>
    <mergeCell ref="AD621:AF621"/>
    <mergeCell ref="AD622:AF622"/>
    <mergeCell ref="AB646:AQ646"/>
    <mergeCell ref="AD649:AF649"/>
    <mergeCell ref="AD654:AF654"/>
    <mergeCell ref="AD612:AG612"/>
    <mergeCell ref="AC617:AQ617"/>
    <mergeCell ref="AB619:AQ619"/>
    <mergeCell ref="AB552:AQ552"/>
    <mergeCell ref="AB553:AQ553"/>
    <mergeCell ref="AB554:AQ554"/>
  </mergeCells>
  <dataValidations count="4">
    <dataValidation type="decimal" allowBlank="1" showErrorMessage="1" errorTitle="Ошибка" error="Допускается ввод только неотрицательных чисел!" sqref="AH338 AF302:AG309 AJ302:AJ309 AI333:AK338 AI332:AJ332 AI331:AL331 AL333:AL337 AL339 AE390 AE388" xr:uid="{00000000-0002-0000-1E00-000000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AG126:AQ126" xr:uid="{00000000-0002-0000-1E00-000001000000}">
      <formula1>TYPE_KOTEL</formula1>
    </dataValidation>
    <dataValidation type="list" allowBlank="1" showInputMessage="1" showErrorMessage="1" sqref="AG128:AQ128" xr:uid="{00000000-0002-0000-1E00-000002000000}">
      <formula1>EZ_DPR</formula1>
    </dataValidation>
    <dataValidation type="list" allowBlank="1" showInputMessage="1" showErrorMessage="1" sqref="AG122:AQ124" xr:uid="{00000000-0002-0000-1E00-000003000000}">
      <formula1>YES_NO</formula1>
    </dataValidation>
  </dataValidations>
  <hyperlinks>
    <hyperlink ref="AP227:AQ227" r:id="rId1" display="http://sgarantgkh@list.ru/" xr:uid="{00000000-0004-0000-1E00-000000000000}"/>
  </hyperlink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C99"/>
  </sheetPr>
  <dimension ref="A1:AU697"/>
  <sheetViews>
    <sheetView showGridLines="0" topLeftCell="AA20" workbookViewId="0">
      <selection activeCell="AA20" sqref="AA20"/>
    </sheetView>
  </sheetViews>
  <sheetFormatPr defaultColWidth="9.140625" defaultRowHeight="11.45" customHeight="1" outlineLevelRow="2"/>
  <cols>
    <col min="1" max="1" width="9.140625" hidden="1"/>
    <col min="2" max="26" width="12.42578125" hidden="1" customWidth="1"/>
    <col min="27" max="29" width="12.42578125" customWidth="1"/>
    <col min="32" max="32" width="9.85546875" customWidth="1"/>
    <col min="33" max="33" width="12.7109375" customWidth="1"/>
    <col min="34" max="34" width="13.140625" customWidth="1"/>
    <col min="35" max="36" width="13.7109375" customWidth="1"/>
    <col min="37" max="37" width="12.7109375" customWidth="1"/>
    <col min="38" max="38" width="13.42578125" customWidth="1"/>
    <col min="39" max="39" width="10.85546875" customWidth="1"/>
    <col min="40" max="40" width="9.85546875" customWidth="1"/>
    <col min="41" max="41" width="11.140625" customWidth="1"/>
    <col min="43" max="43" width="10" customWidth="1"/>
    <col min="44" max="44" width="11.140625" customWidth="1"/>
    <col min="46" max="46" width="11.5703125" customWidth="1"/>
    <col min="47" max="47" width="9.140625" hidden="1"/>
  </cols>
  <sheetData>
    <row r="1" spans="4:47" ht="11.25" hidden="1" customHeight="1"/>
    <row r="2" spans="4:47" ht="12.75" hidden="1" customHeight="1"/>
    <row r="3" spans="4:47" ht="12.75" hidden="1" customHeight="1"/>
    <row r="4" spans="4:47" ht="12.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96</v>
      </c>
      <c r="AC4" s="1">
        <v>96</v>
      </c>
      <c r="AD4" s="1">
        <v>64</v>
      </c>
      <c r="AE4" s="1">
        <v>64</v>
      </c>
      <c r="AF4" s="1">
        <v>72</v>
      </c>
      <c r="AG4" s="1">
        <v>96</v>
      </c>
      <c r="AH4" s="1">
        <v>96</v>
      </c>
      <c r="AI4" s="1">
        <v>104</v>
      </c>
      <c r="AJ4" s="1">
        <v>104</v>
      </c>
      <c r="AK4" s="1">
        <v>96</v>
      </c>
      <c r="AL4" s="1">
        <v>104</v>
      </c>
      <c r="AM4" s="1">
        <v>80</v>
      </c>
      <c r="AN4" s="1">
        <v>72</v>
      </c>
      <c r="AO4" s="1">
        <v>80</v>
      </c>
      <c r="AP4" s="1">
        <v>64</v>
      </c>
      <c r="AQ4" s="1">
        <v>72</v>
      </c>
      <c r="AR4" s="1">
        <v>80</v>
      </c>
      <c r="AS4" s="1">
        <v>64</v>
      </c>
      <c r="AT4" s="1">
        <v>88</v>
      </c>
      <c r="AU4" s="2">
        <v>0</v>
      </c>
    </row>
    <row r="5" spans="4:47" ht="12.75" hidden="1" customHeight="1">
      <c r="D5" s="1">
        <v>40</v>
      </c>
    </row>
    <row r="6" spans="4:47" ht="12.75" hidden="1" customHeight="1">
      <c r="D6" s="1">
        <v>40</v>
      </c>
    </row>
    <row r="7" spans="4:47" ht="12.75" hidden="1" customHeight="1">
      <c r="D7" s="1">
        <v>40</v>
      </c>
    </row>
    <row r="8" spans="4:47" ht="12.75" hidden="1" customHeight="1">
      <c r="D8" s="1">
        <v>40</v>
      </c>
      <c r="AB8" s="781"/>
      <c r="AC8" s="781"/>
      <c r="AD8" s="781"/>
      <c r="AE8" s="781"/>
      <c r="AF8" s="781"/>
      <c r="AG8" s="781"/>
      <c r="AH8" s="781"/>
      <c r="AI8" s="781"/>
      <c r="AJ8" s="781"/>
      <c r="AK8" s="781"/>
      <c r="AL8" s="781"/>
      <c r="AM8" s="781"/>
      <c r="AN8" s="781"/>
      <c r="AO8" s="781"/>
      <c r="AP8" s="781"/>
      <c r="AQ8" s="781"/>
      <c r="AR8" s="781"/>
      <c r="AS8" s="781"/>
      <c r="AT8" s="781"/>
    </row>
    <row r="9" spans="4:47" ht="12.75" hidden="1" customHeight="1">
      <c r="D9" s="1">
        <v>40</v>
      </c>
      <c r="AB9" s="781"/>
      <c r="AC9" s="781"/>
      <c r="AD9" s="781"/>
      <c r="AE9" s="781"/>
      <c r="AF9" s="781"/>
      <c r="AG9" s="781"/>
      <c r="AH9" s="781"/>
      <c r="AI9" s="781"/>
      <c r="AJ9" s="781"/>
      <c r="AK9" s="781"/>
      <c r="AL9" s="781"/>
      <c r="AM9" s="781"/>
      <c r="AN9" s="781"/>
      <c r="AO9" s="781"/>
      <c r="AP9" s="781"/>
      <c r="AQ9" s="781"/>
      <c r="AR9" s="781"/>
      <c r="AS9" s="781"/>
      <c r="AT9" s="781"/>
    </row>
    <row r="10" spans="4:47" ht="12.75" hidden="1" customHeight="1">
      <c r="D10" s="1">
        <v>40</v>
      </c>
      <c r="AB10" s="781"/>
      <c r="AC10" s="781"/>
      <c r="AD10" s="781"/>
      <c r="AE10" s="781"/>
      <c r="AF10" s="781"/>
      <c r="AG10" s="781"/>
      <c r="AH10" s="781"/>
      <c r="AI10" s="781"/>
      <c r="AJ10" s="781"/>
      <c r="AK10" s="781"/>
      <c r="AL10" s="781"/>
      <c r="AM10" s="781"/>
      <c r="AN10" s="781"/>
      <c r="AO10" s="781"/>
      <c r="AP10" s="781"/>
      <c r="AQ10" s="781"/>
      <c r="AR10" s="781"/>
      <c r="AS10" s="781"/>
      <c r="AT10" s="781"/>
    </row>
    <row r="11" spans="4:47" ht="12.75" hidden="1" customHeight="1">
      <c r="D11" s="1">
        <v>40</v>
      </c>
      <c r="AB11" s="781"/>
      <c r="AC11" s="781"/>
      <c r="AD11" s="781"/>
      <c r="AE11" s="781"/>
      <c r="AF11" s="781"/>
      <c r="AG11" s="781"/>
      <c r="AH11" s="781"/>
      <c r="AI11" s="781"/>
      <c r="AJ11" s="781"/>
      <c r="AK11" s="781"/>
      <c r="AL11" s="781"/>
      <c r="AM11" s="781"/>
      <c r="AN11" s="781"/>
      <c r="AO11" s="781"/>
      <c r="AP11" s="781"/>
      <c r="AQ11" s="781"/>
      <c r="AR11" s="781"/>
      <c r="AS11" s="781"/>
      <c r="AT11" s="781"/>
    </row>
    <row r="12" spans="4:47" ht="12.75" hidden="1" customHeight="1">
      <c r="D12" s="1">
        <v>40</v>
      </c>
      <c r="AB12" s="781"/>
      <c r="AC12" s="781"/>
      <c r="AD12" s="781"/>
      <c r="AE12" s="781"/>
      <c r="AF12" s="781"/>
      <c r="AG12" s="781"/>
      <c r="AH12" s="781"/>
      <c r="AI12" s="781"/>
      <c r="AJ12" s="781"/>
      <c r="AK12" s="781"/>
      <c r="AL12" s="781"/>
      <c r="AM12" s="781"/>
      <c r="AN12" s="781"/>
      <c r="AO12" s="781"/>
      <c r="AP12" s="781"/>
      <c r="AQ12" s="781"/>
      <c r="AR12" s="781"/>
      <c r="AS12" s="781"/>
      <c r="AT12" s="781"/>
    </row>
    <row r="13" spans="4:47" ht="12.75" hidden="1" customHeight="1">
      <c r="D13" s="1">
        <v>40</v>
      </c>
      <c r="AB13" s="781"/>
      <c r="AC13" s="781"/>
      <c r="AD13" s="781"/>
      <c r="AE13" s="781"/>
      <c r="AF13" s="781"/>
      <c r="AG13" s="781"/>
      <c r="AH13" s="781"/>
      <c r="AI13" s="781"/>
      <c r="AJ13" s="781"/>
      <c r="AK13" s="781"/>
      <c r="AL13" s="781"/>
      <c r="AM13" s="781"/>
      <c r="AN13" s="781"/>
      <c r="AO13" s="781"/>
      <c r="AP13" s="781"/>
      <c r="AQ13" s="781"/>
      <c r="AR13" s="781"/>
      <c r="AS13" s="781"/>
      <c r="AT13" s="781"/>
    </row>
    <row r="14" spans="4:47" ht="12.75" hidden="1" customHeight="1">
      <c r="D14" s="1">
        <v>40</v>
      </c>
      <c r="AB14" s="781"/>
      <c r="AC14" s="781"/>
      <c r="AD14" s="781"/>
      <c r="AE14" s="781"/>
      <c r="AF14" s="781"/>
      <c r="AG14" s="781"/>
      <c r="AH14" s="781"/>
      <c r="AI14" s="781"/>
      <c r="AJ14" s="781"/>
      <c r="AK14" s="781"/>
      <c r="AL14" s="781"/>
      <c r="AM14" s="781"/>
      <c r="AN14" s="781"/>
      <c r="AO14" s="781"/>
      <c r="AP14" s="781"/>
      <c r="AQ14" s="781"/>
      <c r="AR14" s="781"/>
      <c r="AS14" s="781"/>
      <c r="AT14" s="781"/>
    </row>
    <row r="15" spans="4:47" ht="12.75" hidden="1" customHeight="1">
      <c r="D15" s="1">
        <v>40</v>
      </c>
    </row>
    <row r="16" spans="4:47" ht="12.75" hidden="1" customHeight="1">
      <c r="D16" s="1">
        <v>40</v>
      </c>
      <c r="AG16" s="1027" t="s">
        <v>1651</v>
      </c>
      <c r="AH16" s="1027"/>
      <c r="AI16" s="1027"/>
      <c r="AJ16" s="1027"/>
      <c r="AK16" s="1027"/>
      <c r="AL16" s="1027"/>
      <c r="AM16" s="1027"/>
      <c r="AN16" s="1027"/>
      <c r="AO16" s="1027"/>
    </row>
    <row r="17" spans="4:46" ht="45.75" hidden="1" customHeight="1">
      <c r="D17" s="1">
        <v>40</v>
      </c>
      <c r="AB17" s="1028" t="s">
        <v>1652</v>
      </c>
      <c r="AC17" s="781"/>
      <c r="AD17" s="781"/>
      <c r="AE17" s="781"/>
      <c r="AF17" s="781"/>
      <c r="AG17" s="781"/>
      <c r="AH17" s="781"/>
      <c r="AI17" s="781"/>
      <c r="AJ17" s="781"/>
      <c r="AK17" s="781"/>
      <c r="AL17" s="781"/>
      <c r="AM17" s="781"/>
      <c r="AN17" s="781"/>
      <c r="AO17" s="781"/>
      <c r="AP17" s="781"/>
      <c r="AQ17" s="781"/>
      <c r="AR17" s="781"/>
      <c r="AS17" s="781"/>
      <c r="AT17" s="781"/>
    </row>
    <row r="18" spans="4:46" ht="25.5" hidden="1" customHeight="1">
      <c r="D18" s="1">
        <v>40</v>
      </c>
      <c r="AG18" s="1029" t="s">
        <v>1653</v>
      </c>
      <c r="AH18" s="781"/>
      <c r="AI18" s="781"/>
      <c r="AJ18" s="781"/>
      <c r="AK18" s="1029" t="s">
        <v>1295</v>
      </c>
      <c r="AL18" s="781"/>
      <c r="AM18" s="781"/>
      <c r="AN18" s="781"/>
      <c r="AO18" s="781"/>
    </row>
    <row r="19" spans="4:46" ht="11.25" hidden="1" customHeight="1">
      <c r="D19" s="1">
        <v>40</v>
      </c>
    </row>
    <row r="20" spans="4:46" ht="11.25" customHeight="1">
      <c r="D20" s="1">
        <v>24</v>
      </c>
      <c r="AB20" s="1030" t="s">
        <v>1296</v>
      </c>
      <c r="AC20" s="781"/>
      <c r="AD20" s="781"/>
      <c r="AE20" s="781"/>
      <c r="AF20" s="781"/>
      <c r="AG20" s="781"/>
      <c r="AH20" s="781"/>
      <c r="AI20" s="781"/>
      <c r="AJ20" s="781"/>
      <c r="AK20" s="781"/>
      <c r="AL20" s="781"/>
      <c r="AM20" s="781"/>
      <c r="AN20" s="781"/>
      <c r="AO20" s="781"/>
      <c r="AP20" s="781"/>
      <c r="AQ20" s="781"/>
    </row>
    <row r="21" spans="4:46" ht="11.25" customHeight="1">
      <c r="D21" s="1">
        <v>18</v>
      </c>
    </row>
    <row r="22" spans="4:46" ht="11.25" customHeight="1">
      <c r="D22" s="1">
        <v>18</v>
      </c>
      <c r="AB22" s="829" t="s">
        <v>1297</v>
      </c>
      <c r="AC22" s="781"/>
      <c r="AD22" s="781"/>
      <c r="AE22" s="781"/>
      <c r="AF22" s="781"/>
      <c r="AG22" s="1026">
        <v>0</v>
      </c>
      <c r="AH22" s="781"/>
      <c r="AI22" s="781"/>
      <c r="AJ22" s="781"/>
      <c r="AK22" s="781"/>
      <c r="AL22" s="781"/>
      <c r="AM22" s="781"/>
      <c r="AN22" s="781"/>
      <c r="AO22" s="781"/>
      <c r="AP22" s="781"/>
      <c r="AQ22" s="781"/>
    </row>
    <row r="23" spans="4:46" ht="11.25" customHeight="1">
      <c r="D23" s="1">
        <v>18</v>
      </c>
      <c r="AB23" s="829" t="s">
        <v>1298</v>
      </c>
      <c r="AC23" s="781"/>
      <c r="AD23" s="781"/>
      <c r="AE23" s="781"/>
      <c r="AF23" s="781"/>
      <c r="AG23" s="1025" t="s">
        <v>1654</v>
      </c>
      <c r="AH23" s="781"/>
      <c r="AI23" s="781"/>
      <c r="AJ23" s="781"/>
      <c r="AK23" s="781"/>
      <c r="AL23" s="781"/>
      <c r="AM23" s="781"/>
      <c r="AN23" s="781"/>
      <c r="AO23" s="781"/>
      <c r="AP23" s="781"/>
      <c r="AQ23" s="781"/>
    </row>
    <row r="24" spans="4:46" ht="11.25" customHeight="1">
      <c r="D24" s="1">
        <v>18</v>
      </c>
      <c r="AB24" s="829" t="s">
        <v>1299</v>
      </c>
      <c r="AC24" s="781"/>
      <c r="AD24" s="781"/>
      <c r="AE24" s="781"/>
      <c r="AF24" s="781"/>
      <c r="AG24" s="1026">
        <v>0</v>
      </c>
      <c r="AH24" s="781"/>
      <c r="AI24" s="781"/>
      <c r="AJ24" s="781"/>
      <c r="AK24" s="781"/>
      <c r="AL24" s="781"/>
      <c r="AM24" s="781"/>
      <c r="AN24" s="781"/>
      <c r="AO24" s="781"/>
      <c r="AP24" s="781"/>
      <c r="AQ24" s="781"/>
    </row>
    <row r="25" spans="4:46" ht="11.25" customHeight="1">
      <c r="D25" s="1">
        <v>18</v>
      </c>
      <c r="AB25" s="829" t="s">
        <v>1300</v>
      </c>
      <c r="AC25" s="781"/>
      <c r="AD25" s="781"/>
      <c r="AE25" s="781"/>
      <c r="AF25" s="781"/>
      <c r="AG25" s="1026">
        <v>0</v>
      </c>
      <c r="AH25" s="781"/>
      <c r="AI25" s="781"/>
      <c r="AJ25" s="781"/>
      <c r="AK25" s="781"/>
      <c r="AL25" s="781"/>
      <c r="AM25" s="781"/>
      <c r="AN25" s="781"/>
      <c r="AO25" s="781"/>
      <c r="AP25" s="781"/>
      <c r="AQ25" s="781"/>
    </row>
    <row r="26" spans="4:46" ht="11.25" customHeight="1">
      <c r="D26" s="1">
        <v>18</v>
      </c>
      <c r="AB26" s="829" t="s">
        <v>1301</v>
      </c>
      <c r="AC26" s="781"/>
      <c r="AD26" s="781"/>
      <c r="AE26" s="781"/>
      <c r="AF26" s="781"/>
      <c r="AG26" s="1026">
        <v>0</v>
      </c>
      <c r="AH26" s="781"/>
      <c r="AI26" s="781"/>
      <c r="AJ26" s="781"/>
      <c r="AK26" s="781"/>
      <c r="AL26" s="781"/>
      <c r="AM26" s="781"/>
      <c r="AN26" s="781"/>
      <c r="AO26" s="781"/>
      <c r="AP26" s="781"/>
      <c r="AQ26" s="781"/>
      <c r="AR26" s="781"/>
      <c r="AS26" s="781"/>
      <c r="AT26" s="781"/>
    </row>
    <row r="27" spans="4:46" ht="11.25" customHeight="1">
      <c r="D27" s="1">
        <v>18</v>
      </c>
    </row>
    <row r="28" spans="4:46" ht="11.25" customHeight="1">
      <c r="D28" s="1">
        <v>18</v>
      </c>
      <c r="AB28" s="1030" t="s">
        <v>1302</v>
      </c>
      <c r="AC28" s="781"/>
      <c r="AD28" s="781"/>
      <c r="AE28" s="781"/>
      <c r="AF28" s="781"/>
      <c r="AG28" s="781"/>
      <c r="AH28" s="781"/>
      <c r="AI28" s="781"/>
      <c r="AJ28" s="781"/>
      <c r="AK28" s="781"/>
      <c r="AL28" s="781"/>
      <c r="AM28" s="781"/>
      <c r="AN28" s="781"/>
      <c r="AO28" s="781"/>
      <c r="AP28" s="781"/>
      <c r="AQ28" s="781"/>
    </row>
    <row r="29" spans="4:46" ht="11.25" customHeight="1">
      <c r="D29" s="1">
        <v>18</v>
      </c>
    </row>
    <row r="30" spans="4:46" ht="11.25" customHeight="1">
      <c r="D30" s="1">
        <v>18</v>
      </c>
      <c r="AB30" s="829" t="s">
        <v>1303</v>
      </c>
      <c r="AC30" s="781"/>
      <c r="AD30" s="781"/>
      <c r="AE30" s="781"/>
      <c r="AF30" s="781"/>
      <c r="AG30" s="781"/>
      <c r="AH30" s="1031" t="s">
        <v>1304</v>
      </c>
      <c r="AI30" s="781"/>
      <c r="AJ30" s="1032"/>
      <c r="AK30" s="1032"/>
      <c r="AL30" s="1031" t="s">
        <v>1305</v>
      </c>
      <c r="AM30" s="781"/>
      <c r="AN30" s="1033"/>
      <c r="AO30" s="1033"/>
    </row>
    <row r="31" spans="4:46" ht="11.25" customHeight="1">
      <c r="D31" s="1">
        <v>18</v>
      </c>
      <c r="AB31" s="829" t="s">
        <v>1306</v>
      </c>
      <c r="AC31" s="781"/>
      <c r="AD31" s="781"/>
      <c r="AE31" s="781"/>
      <c r="AF31" s="781"/>
      <c r="AG31" s="781"/>
      <c r="AH31" s="1031" t="s">
        <v>1304</v>
      </c>
      <c r="AI31" s="781"/>
      <c r="AJ31" s="1032"/>
      <c r="AK31" s="1032"/>
      <c r="AL31" s="781"/>
      <c r="AM31" s="781"/>
      <c r="AN31" s="781"/>
      <c r="AO31" s="781"/>
    </row>
    <row r="32" spans="4:46" ht="11.25" customHeight="1">
      <c r="D32" s="1">
        <v>18</v>
      </c>
      <c r="AB32" s="829" t="s">
        <v>1307</v>
      </c>
      <c r="AC32" s="781"/>
      <c r="AD32" s="781"/>
      <c r="AE32" s="781"/>
      <c r="AF32" s="781"/>
      <c r="AG32" s="781"/>
      <c r="AH32" s="1031" t="s">
        <v>1304</v>
      </c>
      <c r="AI32" s="781"/>
      <c r="AJ32" s="1032"/>
      <c r="AK32" s="1032"/>
      <c r="AL32" s="1031" t="s">
        <v>1305</v>
      </c>
      <c r="AM32" s="781"/>
      <c r="AN32" s="1033"/>
      <c r="AO32" s="1033"/>
    </row>
    <row r="33" spans="4:46" ht="11.25" customHeight="1">
      <c r="D33" s="1">
        <v>18</v>
      </c>
      <c r="AB33" s="829" t="s">
        <v>1308</v>
      </c>
      <c r="AC33" s="781"/>
      <c r="AD33" s="781"/>
      <c r="AE33" s="781"/>
      <c r="AF33" s="781"/>
      <c r="AG33" s="781"/>
      <c r="AH33" s="1031" t="s">
        <v>1309</v>
      </c>
      <c r="AI33" s="781"/>
      <c r="AJ33" s="1035"/>
      <c r="AK33" s="1035"/>
      <c r="AL33" s="1031" t="s">
        <v>1310</v>
      </c>
      <c r="AM33" s="781"/>
      <c r="AN33" s="1032"/>
      <c r="AO33" s="1032"/>
    </row>
    <row r="34" spans="4:46" ht="11.25" customHeight="1">
      <c r="D34" s="1">
        <v>18</v>
      </c>
      <c r="AB34" s="829" t="s">
        <v>1311</v>
      </c>
      <c r="AC34" s="781"/>
      <c r="AD34" s="781"/>
      <c r="AE34" s="781"/>
      <c r="AF34" s="781"/>
      <c r="AG34" s="781"/>
      <c r="AH34" s="1033"/>
      <c r="AI34" s="1033"/>
      <c r="AJ34" s="1033"/>
      <c r="AK34" s="1033"/>
      <c r="AL34" s="1033"/>
      <c r="AM34" s="1033"/>
      <c r="AN34" s="1033"/>
      <c r="AO34" s="1033"/>
    </row>
    <row r="35" spans="4:46" ht="11.25" customHeight="1">
      <c r="D35" s="1">
        <v>18</v>
      </c>
    </row>
    <row r="36" spans="4:46" ht="11.25" customHeight="1">
      <c r="D36" s="1">
        <v>18</v>
      </c>
      <c r="AB36" s="1030" t="s">
        <v>1312</v>
      </c>
      <c r="AC36" s="781"/>
      <c r="AD36" s="781"/>
      <c r="AE36" s="781"/>
      <c r="AF36" s="781"/>
      <c r="AG36" s="781"/>
      <c r="AH36" s="781"/>
      <c r="AI36" s="781"/>
      <c r="AJ36" s="781"/>
      <c r="AK36" s="781"/>
      <c r="AL36" s="781"/>
      <c r="AM36" s="781"/>
      <c r="AN36" s="781"/>
      <c r="AO36" s="781"/>
      <c r="AP36" s="781"/>
      <c r="AQ36" s="781"/>
    </row>
    <row r="37" spans="4:46" ht="11.25" customHeight="1">
      <c r="D37" s="1">
        <v>18</v>
      </c>
    </row>
    <row r="38" spans="4:46" ht="26.25" customHeight="1">
      <c r="D38" s="1">
        <v>42</v>
      </c>
      <c r="AB38" s="1034" t="s">
        <v>1655</v>
      </c>
      <c r="AC38" s="781"/>
      <c r="AD38" s="781"/>
      <c r="AE38" s="781"/>
      <c r="AF38" s="781"/>
      <c r="AG38" s="781"/>
      <c r="AH38" s="781"/>
      <c r="AI38" s="781"/>
      <c r="AJ38" s="781"/>
      <c r="AK38" s="781"/>
      <c r="AL38" s="781"/>
      <c r="AM38" s="781"/>
      <c r="AN38" s="781"/>
      <c r="AO38" s="781"/>
      <c r="AP38" s="781"/>
      <c r="AQ38" s="781"/>
      <c r="AR38" s="781"/>
      <c r="AS38" s="781"/>
      <c r="AT38" s="781"/>
    </row>
    <row r="39" spans="4:46" ht="11.25" customHeight="1">
      <c r="D39" s="1">
        <v>18</v>
      </c>
    </row>
    <row r="40" spans="4:46" ht="11.25" customHeight="1">
      <c r="D40" s="1">
        <v>18</v>
      </c>
      <c r="AB40" s="1034" t="s">
        <v>1314</v>
      </c>
      <c r="AC40" s="781"/>
      <c r="AD40" s="781"/>
      <c r="AE40" s="781"/>
      <c r="AF40" s="781"/>
      <c r="AG40" s="781"/>
      <c r="AH40" s="781"/>
      <c r="AI40" s="781"/>
      <c r="AJ40" s="781"/>
      <c r="AK40" s="781"/>
      <c r="AL40" s="781"/>
      <c r="AM40" s="781"/>
      <c r="AN40" s="781"/>
      <c r="AO40" s="781"/>
      <c r="AP40" s="781"/>
      <c r="AQ40" s="781"/>
      <c r="AR40" s="781"/>
      <c r="AS40" s="781"/>
      <c r="AT40" s="781"/>
    </row>
    <row r="41" spans="4:46" ht="11.25" customHeight="1">
      <c r="D41" s="1">
        <v>18</v>
      </c>
      <c r="AB41" s="1034" t="s">
        <v>1315</v>
      </c>
      <c r="AC41" s="781"/>
      <c r="AD41" s="781"/>
      <c r="AE41" s="781"/>
      <c r="AF41" s="781"/>
      <c r="AG41" s="781"/>
      <c r="AH41" s="781"/>
      <c r="AI41" s="781"/>
      <c r="AJ41" s="781"/>
      <c r="AK41" s="781"/>
      <c r="AL41" s="781"/>
      <c r="AM41" s="781"/>
      <c r="AN41" s="781"/>
      <c r="AO41" s="781"/>
      <c r="AP41" s="781"/>
      <c r="AQ41" s="781"/>
      <c r="AR41" s="781"/>
      <c r="AS41" s="781"/>
      <c r="AT41" s="781"/>
    </row>
    <row r="42" spans="4:46" ht="11.25" customHeight="1">
      <c r="D42" s="1">
        <v>18</v>
      </c>
      <c r="AB42" s="1034" t="s">
        <v>1316</v>
      </c>
      <c r="AC42" s="781"/>
      <c r="AD42" s="781"/>
      <c r="AE42" s="781"/>
      <c r="AF42" s="781"/>
      <c r="AG42" s="781"/>
      <c r="AH42" s="781"/>
      <c r="AI42" s="781"/>
      <c r="AJ42" s="781"/>
      <c r="AK42" s="781"/>
      <c r="AL42" s="781"/>
      <c r="AM42" s="781"/>
      <c r="AN42" s="781"/>
      <c r="AO42" s="781"/>
      <c r="AP42" s="781"/>
      <c r="AQ42" s="781"/>
      <c r="AR42" s="781"/>
      <c r="AS42" s="781"/>
      <c r="AT42" s="781"/>
    </row>
    <row r="43" spans="4:46" ht="11.25" customHeight="1">
      <c r="D43" s="1">
        <v>18</v>
      </c>
      <c r="AB43" s="832" t="s">
        <v>1317</v>
      </c>
      <c r="AC43" s="781"/>
      <c r="AD43" s="781"/>
      <c r="AE43" s="781"/>
      <c r="AF43" s="781"/>
      <c r="AG43" s="781"/>
      <c r="AH43" s="781"/>
      <c r="AI43" s="781"/>
      <c r="AJ43" s="781"/>
      <c r="AK43" s="781"/>
      <c r="AL43" s="781"/>
      <c r="AM43" s="781"/>
      <c r="AN43" s="781"/>
      <c r="AO43" s="781"/>
      <c r="AP43" s="781"/>
      <c r="AQ43" s="781"/>
      <c r="AR43" s="781"/>
      <c r="AS43" s="781"/>
      <c r="AT43" s="781"/>
    </row>
    <row r="44" spans="4:46" ht="11.25" customHeight="1">
      <c r="D44" s="1">
        <v>18</v>
      </c>
      <c r="AB44" s="832" t="s">
        <v>1318</v>
      </c>
      <c r="AC44" s="781"/>
      <c r="AD44" s="781"/>
      <c r="AE44" s="781"/>
      <c r="AF44" s="781"/>
      <c r="AG44" s="781"/>
      <c r="AH44" s="781"/>
      <c r="AI44" s="781"/>
      <c r="AJ44" s="781"/>
      <c r="AK44" s="781"/>
      <c r="AL44" s="781"/>
      <c r="AM44" s="781"/>
      <c r="AN44" s="781"/>
      <c r="AO44" s="781"/>
      <c r="AP44" s="781"/>
      <c r="AQ44" s="781"/>
      <c r="AR44" s="781"/>
      <c r="AS44" s="781"/>
      <c r="AT44" s="781"/>
    </row>
    <row r="45" spans="4:46" ht="11.25" customHeight="1">
      <c r="D45" s="1">
        <v>18</v>
      </c>
      <c r="AB45" s="1034" t="s">
        <v>1319</v>
      </c>
      <c r="AC45" s="781"/>
      <c r="AD45" s="781"/>
      <c r="AE45" s="781"/>
      <c r="AF45" s="781"/>
      <c r="AG45" s="781"/>
      <c r="AH45" s="781"/>
      <c r="AI45" s="781"/>
      <c r="AJ45" s="781"/>
      <c r="AK45" s="781"/>
      <c r="AL45" s="781"/>
      <c r="AM45" s="781"/>
      <c r="AN45" s="781"/>
      <c r="AO45" s="781"/>
      <c r="AP45" s="781"/>
      <c r="AQ45" s="781"/>
      <c r="AR45" s="781"/>
      <c r="AS45" s="781"/>
      <c r="AT45" s="781"/>
    </row>
    <row r="46" spans="4:46" ht="11.25" customHeight="1">
      <c r="D46" s="1">
        <v>18</v>
      </c>
      <c r="AB46" s="1034" t="s">
        <v>1320</v>
      </c>
      <c r="AC46" s="781"/>
      <c r="AD46" s="781"/>
      <c r="AE46" s="781"/>
      <c r="AF46" s="781"/>
      <c r="AG46" s="781"/>
      <c r="AH46" s="781"/>
      <c r="AI46" s="781"/>
      <c r="AJ46" s="781"/>
      <c r="AK46" s="781"/>
      <c r="AL46" s="781"/>
      <c r="AM46" s="781"/>
      <c r="AN46" s="781"/>
      <c r="AO46" s="781"/>
      <c r="AP46" s="781"/>
      <c r="AQ46" s="781"/>
      <c r="AR46" s="781"/>
      <c r="AS46" s="781"/>
      <c r="AT46" s="781"/>
    </row>
    <row r="47" spans="4:46" ht="11.25" customHeight="1">
      <c r="D47" s="1">
        <v>18</v>
      </c>
      <c r="AB47" s="1034" t="s">
        <v>1321</v>
      </c>
      <c r="AC47" s="781"/>
      <c r="AD47" s="781"/>
      <c r="AE47" s="781"/>
      <c r="AF47" s="781"/>
      <c r="AG47" s="781"/>
      <c r="AH47" s="781"/>
      <c r="AI47" s="781"/>
      <c r="AJ47" s="781"/>
      <c r="AK47" s="781"/>
      <c r="AL47" s="781"/>
      <c r="AM47" s="781"/>
      <c r="AN47" s="781"/>
      <c r="AO47" s="781"/>
      <c r="AP47" s="781"/>
      <c r="AQ47" s="781"/>
      <c r="AR47" s="781"/>
      <c r="AS47" s="781"/>
      <c r="AT47" s="781"/>
    </row>
    <row r="48" spans="4:46" ht="11.25" customHeight="1">
      <c r="D48" s="1">
        <v>18</v>
      </c>
      <c r="AB48" s="832" t="s">
        <v>1322</v>
      </c>
      <c r="AC48" s="781"/>
      <c r="AD48" s="781"/>
      <c r="AE48" s="781"/>
      <c r="AF48" s="781"/>
      <c r="AG48" s="781"/>
      <c r="AH48" s="781"/>
      <c r="AI48" s="781"/>
      <c r="AJ48" s="781"/>
      <c r="AK48" s="781"/>
      <c r="AL48" s="781"/>
      <c r="AM48" s="781"/>
      <c r="AN48" s="781"/>
      <c r="AO48" s="781"/>
      <c r="AP48" s="781"/>
      <c r="AQ48" s="781"/>
      <c r="AR48" s="781"/>
      <c r="AS48" s="781"/>
      <c r="AT48" s="781"/>
    </row>
    <row r="49" spans="4:46" ht="11.25" customHeight="1">
      <c r="D49" s="1">
        <v>18</v>
      </c>
      <c r="AB49" s="1034" t="s">
        <v>1323</v>
      </c>
      <c r="AC49" s="781"/>
      <c r="AD49" s="781"/>
      <c r="AE49" s="781"/>
      <c r="AF49" s="781"/>
      <c r="AG49" s="781"/>
      <c r="AH49" s="781"/>
      <c r="AI49" s="781"/>
      <c r="AJ49" s="781"/>
      <c r="AK49" s="781"/>
      <c r="AL49" s="781"/>
      <c r="AM49" s="781"/>
      <c r="AN49" s="781"/>
      <c r="AO49" s="781"/>
      <c r="AP49" s="781"/>
      <c r="AQ49" s="781"/>
      <c r="AR49" s="781"/>
      <c r="AS49" s="781"/>
      <c r="AT49" s="781"/>
    </row>
    <row r="50" spans="4:46" ht="11.25" customHeight="1">
      <c r="D50" s="1">
        <v>18</v>
      </c>
      <c r="AB50" s="832" t="s">
        <v>1324</v>
      </c>
      <c r="AC50" s="781"/>
      <c r="AD50" s="781"/>
      <c r="AE50" s="781"/>
      <c r="AF50" s="781"/>
      <c r="AG50" s="781"/>
      <c r="AH50" s="781"/>
      <c r="AI50" s="781"/>
      <c r="AJ50" s="781"/>
      <c r="AK50" s="781"/>
      <c r="AL50" s="781"/>
      <c r="AM50" s="781"/>
      <c r="AN50" s="781"/>
      <c r="AO50" s="781"/>
      <c r="AP50" s="781"/>
      <c r="AQ50" s="781"/>
      <c r="AR50" s="781"/>
      <c r="AS50" s="781"/>
      <c r="AT50" s="781"/>
    </row>
    <row r="51" spans="4:46" ht="11.25" customHeight="1">
      <c r="D51" s="1">
        <v>18</v>
      </c>
      <c r="AB51" s="832" t="s">
        <v>1656</v>
      </c>
      <c r="AC51" s="781"/>
      <c r="AD51" s="781"/>
      <c r="AE51" s="781"/>
      <c r="AF51" s="781"/>
      <c r="AG51" s="781"/>
      <c r="AH51" s="781"/>
      <c r="AI51" s="781"/>
      <c r="AJ51" s="781"/>
      <c r="AK51" s="781"/>
      <c r="AL51" s="781"/>
      <c r="AM51" s="781"/>
      <c r="AN51" s="781"/>
      <c r="AO51" s="781"/>
      <c r="AP51" s="781"/>
      <c r="AQ51" s="781"/>
      <c r="AR51" s="781"/>
      <c r="AS51" s="781"/>
      <c r="AT51" s="781"/>
    </row>
    <row r="52" spans="4:46" ht="11.25" customHeight="1">
      <c r="D52" s="1">
        <v>18</v>
      </c>
      <c r="AB52" s="832" t="s">
        <v>1657</v>
      </c>
      <c r="AC52" s="781"/>
      <c r="AD52" s="781"/>
      <c r="AE52" s="781"/>
      <c r="AF52" s="781"/>
      <c r="AG52" s="781"/>
      <c r="AH52" s="1033"/>
      <c r="AI52" s="1033"/>
      <c r="AJ52" s="1033"/>
      <c r="AK52" s="1033"/>
      <c r="AL52" s="1033"/>
      <c r="AM52" s="1033"/>
      <c r="AN52" s="1033"/>
      <c r="AO52" s="1033"/>
    </row>
    <row r="53" spans="4:46" ht="27.75" customHeight="1">
      <c r="D53" s="1">
        <v>45</v>
      </c>
      <c r="AB53" s="832" t="s">
        <v>1658</v>
      </c>
      <c r="AC53" s="832" t="s">
        <v>1659</v>
      </c>
      <c r="AD53" s="781"/>
      <c r="AE53" s="781"/>
      <c r="AF53" s="781"/>
      <c r="AG53" s="781"/>
      <c r="AH53" s="781"/>
      <c r="AI53" s="781"/>
      <c r="AJ53" s="781"/>
      <c r="AK53" s="781"/>
      <c r="AL53" s="781"/>
      <c r="AM53" s="781"/>
      <c r="AN53" s="781"/>
      <c r="AO53" s="781"/>
      <c r="AP53" s="781"/>
      <c r="AQ53" s="781"/>
      <c r="AR53" s="781"/>
      <c r="AS53" s="781"/>
      <c r="AT53" s="781"/>
    </row>
    <row r="54" spans="4:46" ht="11.25" customHeight="1">
      <c r="D54" s="1">
        <v>18</v>
      </c>
      <c r="AB54" s="29" t="s">
        <v>1326</v>
      </c>
      <c r="AC54" s="1036"/>
      <c r="AD54" s="1037"/>
      <c r="AE54" s="29" t="s">
        <v>1327</v>
      </c>
      <c r="AF54" s="1036"/>
      <c r="AG54" s="1037"/>
    </row>
    <row r="55" spans="4:46" ht="11.25" customHeight="1">
      <c r="D55" s="1">
        <v>18</v>
      </c>
      <c r="AB55" s="832" t="s">
        <v>1328</v>
      </c>
      <c r="AC55" s="781"/>
      <c r="AD55" s="781"/>
      <c r="AE55" s="781"/>
      <c r="AF55" s="781"/>
      <c r="AG55" s="781"/>
      <c r="AH55" s="781"/>
      <c r="AI55" s="781"/>
      <c r="AJ55" s="781"/>
      <c r="AK55" s="781"/>
      <c r="AL55" s="781"/>
      <c r="AM55" s="781"/>
      <c r="AN55" s="781"/>
      <c r="AO55" s="781"/>
      <c r="AP55" s="781"/>
      <c r="AQ55" s="781"/>
      <c r="AR55" s="781"/>
      <c r="AS55" s="781"/>
      <c r="AT55" s="781"/>
    </row>
    <row r="56" spans="4:46" ht="11.25" customHeight="1">
      <c r="D56" s="1">
        <v>18</v>
      </c>
      <c r="AB56" s="832" t="s">
        <v>1329</v>
      </c>
      <c r="AC56" s="781"/>
      <c r="AD56" s="781"/>
      <c r="AE56" s="781"/>
      <c r="AF56" s="781"/>
      <c r="AG56" s="781"/>
      <c r="AH56" s="781"/>
      <c r="AI56" s="781"/>
      <c r="AJ56" s="781"/>
      <c r="AK56" s="781"/>
      <c r="AL56" s="781"/>
      <c r="AM56" s="781"/>
      <c r="AN56" s="781"/>
      <c r="AO56" s="781"/>
      <c r="AP56" s="781"/>
      <c r="AQ56" s="781"/>
      <c r="AR56" s="781"/>
      <c r="AS56" s="781"/>
      <c r="AT56" s="781"/>
    </row>
    <row r="57" spans="4:46" ht="11.25" customHeight="1">
      <c r="D57" s="1">
        <v>18</v>
      </c>
      <c r="AB57" s="832" t="s">
        <v>1330</v>
      </c>
      <c r="AC57" s="781"/>
      <c r="AD57" s="781"/>
      <c r="AE57" s="781"/>
      <c r="AF57" s="781"/>
      <c r="AG57" s="781"/>
      <c r="AH57" s="781"/>
      <c r="AI57" s="781"/>
      <c r="AJ57" s="781"/>
      <c r="AK57" s="781"/>
      <c r="AL57" s="781"/>
      <c r="AM57" s="781"/>
      <c r="AN57" s="781"/>
      <c r="AO57" s="781"/>
      <c r="AP57" s="781"/>
      <c r="AQ57" s="781"/>
      <c r="AR57" s="781"/>
      <c r="AS57" s="781"/>
      <c r="AT57" s="781"/>
    </row>
    <row r="58" spans="4:46" ht="11.25" customHeight="1">
      <c r="D58" s="1">
        <v>18</v>
      </c>
    </row>
    <row r="59" spans="4:46" ht="11.25" customHeight="1">
      <c r="D59" s="1">
        <v>18</v>
      </c>
      <c r="AB59" s="832" t="s">
        <v>1331</v>
      </c>
      <c r="AC59" s="781"/>
      <c r="AD59" s="781"/>
      <c r="AE59" s="781"/>
      <c r="AF59" s="781"/>
      <c r="AG59" s="781"/>
      <c r="AH59" s="781"/>
      <c r="AI59" s="781"/>
      <c r="AJ59" s="781"/>
      <c r="AK59" s="781"/>
      <c r="AL59" s="781"/>
      <c r="AM59" s="781"/>
      <c r="AN59" s="781"/>
      <c r="AO59" s="781"/>
      <c r="AP59" s="781"/>
      <c r="AQ59" s="781"/>
      <c r="AR59" s="781"/>
      <c r="AS59" s="781"/>
      <c r="AT59" s="781"/>
    </row>
    <row r="60" spans="4:46" ht="11.25" customHeight="1">
      <c r="D60" s="1">
        <v>18</v>
      </c>
      <c r="AB60" s="832" t="s">
        <v>1660</v>
      </c>
      <c r="AC60" s="781"/>
      <c r="AD60" s="781"/>
      <c r="AE60" s="781"/>
      <c r="AF60" s="781"/>
      <c r="AG60" s="781"/>
      <c r="AH60" s="781"/>
      <c r="AI60" s="781"/>
      <c r="AJ60" s="781"/>
      <c r="AK60" s="781"/>
      <c r="AL60" s="781"/>
      <c r="AM60" s="781"/>
      <c r="AN60" s="781"/>
      <c r="AO60" s="781"/>
      <c r="AP60" s="781"/>
      <c r="AQ60" s="781"/>
      <c r="AR60" s="781"/>
      <c r="AS60" s="781"/>
      <c r="AT60" s="781"/>
    </row>
    <row r="61" spans="4:46" ht="11.25" customHeight="1">
      <c r="D61" s="1">
        <v>18</v>
      </c>
    </row>
    <row r="62" spans="4:46" ht="11.25" hidden="1" customHeight="1">
      <c r="D62" s="1">
        <v>0</v>
      </c>
    </row>
    <row r="63" spans="4:46" ht="11.25" customHeight="1">
      <c r="D63" s="1">
        <v>18</v>
      </c>
      <c r="AB63" s="1030" t="s">
        <v>1332</v>
      </c>
      <c r="AC63" s="781"/>
      <c r="AD63" s="781"/>
      <c r="AE63" s="781"/>
      <c r="AF63" s="781"/>
      <c r="AG63" s="781"/>
      <c r="AH63" s="781"/>
      <c r="AI63" s="781"/>
      <c r="AJ63" s="781"/>
      <c r="AK63" s="781"/>
      <c r="AL63" s="781"/>
      <c r="AM63" s="781"/>
      <c r="AN63" s="781"/>
      <c r="AO63" s="781"/>
      <c r="AP63" s="781"/>
      <c r="AQ63" s="781"/>
    </row>
    <row r="64" spans="4:46" ht="11.25" customHeight="1">
      <c r="D64" s="1">
        <v>18</v>
      </c>
    </row>
    <row r="65" spans="4:46" ht="25.5" customHeight="1">
      <c r="D65" s="1">
        <v>42</v>
      </c>
      <c r="AB65" s="832" t="s">
        <v>1661</v>
      </c>
      <c r="AC65" s="781"/>
      <c r="AD65" s="781"/>
      <c r="AE65" s="781"/>
      <c r="AF65" s="781"/>
      <c r="AG65" s="781"/>
      <c r="AH65" s="781"/>
      <c r="AI65" s="781"/>
      <c r="AJ65" s="781"/>
      <c r="AK65" s="781"/>
      <c r="AL65" s="781"/>
      <c r="AM65" s="781"/>
      <c r="AN65" s="781"/>
      <c r="AO65" s="781"/>
      <c r="AP65" s="781"/>
      <c r="AQ65" s="781"/>
      <c r="AR65" s="781"/>
      <c r="AS65" s="781"/>
      <c r="AT65" s="781"/>
    </row>
    <row r="66" spans="4:46" ht="25.5" customHeight="1">
      <c r="D66" s="1">
        <v>42</v>
      </c>
      <c r="AB66" s="832" t="s">
        <v>1662</v>
      </c>
      <c r="AC66" s="781"/>
      <c r="AD66" s="781"/>
      <c r="AE66" s="781"/>
      <c r="AF66" s="781"/>
      <c r="AG66" s="781"/>
      <c r="AH66" s="781"/>
      <c r="AI66" s="781"/>
      <c r="AJ66" s="781"/>
      <c r="AK66" s="781"/>
      <c r="AL66" s="781"/>
      <c r="AM66" s="781"/>
      <c r="AN66" s="781"/>
      <c r="AO66" s="781"/>
      <c r="AP66" s="781"/>
      <c r="AQ66" s="781"/>
      <c r="AR66" s="781"/>
      <c r="AS66" s="781"/>
      <c r="AT66" s="781"/>
    </row>
    <row r="67" spans="4:46" ht="12" customHeight="1">
      <c r="D67" s="1">
        <v>20</v>
      </c>
    </row>
    <row r="68" spans="4:46" ht="56.25" customHeight="1">
      <c r="D68" s="1">
        <v>90</v>
      </c>
      <c r="AB68" s="832" t="s">
        <v>1663</v>
      </c>
      <c r="AC68" s="781"/>
      <c r="AD68" s="781"/>
      <c r="AE68" s="781"/>
      <c r="AF68" s="781"/>
      <c r="AG68" s="781"/>
      <c r="AH68" s="781"/>
      <c r="AI68" s="781"/>
      <c r="AJ68" s="781"/>
      <c r="AK68" s="781"/>
      <c r="AL68" s="781"/>
      <c r="AM68" s="781"/>
      <c r="AN68" s="781"/>
      <c r="AO68" s="781"/>
      <c r="AP68" s="781"/>
      <c r="AQ68" s="781"/>
      <c r="AR68" s="781"/>
      <c r="AS68" s="781"/>
      <c r="AT68" s="781"/>
    </row>
    <row r="69" spans="4:46" ht="11.25" customHeight="1">
      <c r="D69" s="1">
        <v>18</v>
      </c>
      <c r="AB69" s="1030" t="s">
        <v>1334</v>
      </c>
      <c r="AC69" s="781"/>
      <c r="AD69" s="781"/>
      <c r="AE69" s="781"/>
      <c r="AF69" s="781"/>
      <c r="AG69" s="781"/>
      <c r="AH69" s="781"/>
      <c r="AI69" s="781"/>
      <c r="AJ69" s="781"/>
      <c r="AK69" s="781"/>
      <c r="AL69" s="781"/>
      <c r="AM69" s="781"/>
      <c r="AN69" s="781"/>
      <c r="AO69" s="781"/>
      <c r="AP69" s="781"/>
      <c r="AQ69" s="781"/>
    </row>
    <row r="70" spans="4:46" ht="11.25" customHeight="1">
      <c r="D70" s="1">
        <v>18</v>
      </c>
    </row>
    <row r="71" spans="4:46" ht="11.25" customHeight="1">
      <c r="D71" s="1">
        <v>18</v>
      </c>
      <c r="AB71" s="832" t="s">
        <v>1335</v>
      </c>
      <c r="AC71" s="781"/>
      <c r="AD71" s="781"/>
      <c r="AE71" s="781"/>
      <c r="AF71" s="781"/>
      <c r="AG71" s="781"/>
      <c r="AH71" s="781"/>
      <c r="AI71" s="781"/>
      <c r="AJ71" s="781"/>
      <c r="AK71" s="781"/>
      <c r="AL71" s="781"/>
      <c r="AM71" s="781"/>
      <c r="AN71" s="781"/>
      <c r="AO71" s="781"/>
      <c r="AP71" s="781"/>
      <c r="AQ71" s="781"/>
      <c r="AR71" s="781"/>
      <c r="AS71" s="781"/>
      <c r="AT71" s="781"/>
    </row>
    <row r="72" spans="4:46" ht="11.25" customHeight="1">
      <c r="D72" s="1">
        <v>18</v>
      </c>
      <c r="AB72" s="832" t="s">
        <v>1664</v>
      </c>
      <c r="AC72" s="781"/>
      <c r="AD72" s="781"/>
      <c r="AE72" s="781"/>
      <c r="AF72" s="781"/>
      <c r="AG72" s="781"/>
      <c r="AH72" s="781"/>
      <c r="AI72" s="781"/>
      <c r="AJ72" s="781"/>
      <c r="AK72" s="781"/>
      <c r="AL72" s="781"/>
      <c r="AM72" s="781"/>
      <c r="AN72" s="781"/>
      <c r="AO72" s="781"/>
      <c r="AP72" s="781"/>
      <c r="AQ72" s="781"/>
      <c r="AR72" s="781"/>
      <c r="AS72" s="781"/>
      <c r="AT72" s="781"/>
    </row>
    <row r="73" spans="4:46" ht="11.25" customHeight="1">
      <c r="D73" s="1">
        <v>18</v>
      </c>
      <c r="AB73" s="832" t="s">
        <v>1665</v>
      </c>
      <c r="AC73" s="781"/>
      <c r="AD73" s="781"/>
      <c r="AE73" s="781"/>
      <c r="AF73" s="781"/>
      <c r="AG73" s="781"/>
      <c r="AH73" s="781"/>
      <c r="AI73" s="781"/>
      <c r="AJ73" s="781"/>
      <c r="AK73" s="781"/>
      <c r="AL73" s="781"/>
      <c r="AM73" s="781"/>
      <c r="AN73" s="781"/>
      <c r="AO73" s="781"/>
      <c r="AP73" s="781"/>
      <c r="AQ73" s="781"/>
      <c r="AR73" s="781"/>
      <c r="AS73" s="781"/>
      <c r="AT73" s="781"/>
    </row>
    <row r="74" spans="4:46" ht="11.25" customHeight="1">
      <c r="D74" s="1">
        <v>18</v>
      </c>
      <c r="AB74" s="832" t="s">
        <v>1666</v>
      </c>
      <c r="AC74" s="781"/>
      <c r="AD74" s="781"/>
      <c r="AE74" s="781"/>
      <c r="AF74" s="781"/>
      <c r="AG74" s="781"/>
      <c r="AH74" s="781"/>
      <c r="AI74" s="781"/>
      <c r="AJ74" s="781"/>
      <c r="AK74" s="781"/>
      <c r="AL74" s="781"/>
      <c r="AM74" s="781"/>
      <c r="AN74" s="781"/>
      <c r="AO74" s="781"/>
      <c r="AP74" s="781"/>
      <c r="AQ74" s="781"/>
      <c r="AR74" s="781"/>
      <c r="AS74" s="781"/>
      <c r="AT74" s="781"/>
    </row>
    <row r="75" spans="4:46" ht="11.25" customHeight="1">
      <c r="D75" s="1">
        <v>18</v>
      </c>
      <c r="AB75" s="832" t="s">
        <v>1667</v>
      </c>
      <c r="AC75" s="781"/>
      <c r="AD75" s="781"/>
      <c r="AE75" s="781"/>
      <c r="AF75" s="781"/>
      <c r="AG75" s="781"/>
      <c r="AH75" s="781"/>
      <c r="AI75" s="781"/>
      <c r="AJ75" s="781"/>
      <c r="AK75" s="781"/>
      <c r="AL75" s="781"/>
      <c r="AM75" s="781"/>
      <c r="AN75" s="781"/>
      <c r="AO75" s="781"/>
      <c r="AP75" s="781"/>
      <c r="AQ75" s="781"/>
      <c r="AR75" s="781"/>
      <c r="AS75" s="781"/>
      <c r="AT75" s="781"/>
    </row>
    <row r="76" spans="4:46" ht="11.25" customHeight="1">
      <c r="D76" s="1">
        <v>18</v>
      </c>
      <c r="AB76" s="832" t="s">
        <v>1668</v>
      </c>
      <c r="AC76" s="781"/>
      <c r="AD76" s="781"/>
      <c r="AE76" s="781"/>
      <c r="AF76" s="781"/>
      <c r="AG76" s="781"/>
      <c r="AH76" s="781"/>
      <c r="AI76" s="781"/>
      <c r="AJ76" s="781"/>
      <c r="AK76" s="781"/>
      <c r="AL76" s="781"/>
      <c r="AM76" s="781"/>
      <c r="AN76" s="781"/>
      <c r="AO76" s="781"/>
      <c r="AP76" s="781"/>
      <c r="AQ76" s="781"/>
      <c r="AR76" s="781"/>
      <c r="AS76" s="781"/>
      <c r="AT76" s="781"/>
    </row>
    <row r="77" spans="4:46" ht="11.25" customHeight="1">
      <c r="D77" s="1">
        <v>18</v>
      </c>
      <c r="AB77" s="781"/>
      <c r="AC77" s="781"/>
      <c r="AD77" s="781"/>
      <c r="AE77" s="781"/>
      <c r="AF77" s="781"/>
      <c r="AG77" s="781"/>
      <c r="AH77" s="781"/>
      <c r="AI77" s="781"/>
      <c r="AJ77" s="781"/>
      <c r="AK77" s="781"/>
      <c r="AL77" s="781"/>
      <c r="AM77" s="781"/>
      <c r="AN77" s="781"/>
      <c r="AO77" s="781"/>
      <c r="AP77" s="781"/>
      <c r="AQ77" s="781"/>
      <c r="AR77" s="781"/>
      <c r="AS77" s="781"/>
      <c r="AT77" s="781"/>
    </row>
    <row r="78" spans="4:46" ht="11.25" customHeight="1">
      <c r="D78" s="1">
        <v>18</v>
      </c>
      <c r="AB78" s="1030" t="s">
        <v>1337</v>
      </c>
      <c r="AC78" s="781"/>
      <c r="AD78" s="781"/>
      <c r="AE78" s="781"/>
      <c r="AF78" s="781"/>
      <c r="AG78" s="781"/>
      <c r="AH78" s="781"/>
      <c r="AI78" s="781"/>
      <c r="AJ78" s="781"/>
      <c r="AK78" s="781"/>
      <c r="AL78" s="781"/>
      <c r="AM78" s="781"/>
      <c r="AN78" s="781"/>
      <c r="AO78" s="781"/>
      <c r="AP78" s="781"/>
      <c r="AQ78" s="781"/>
    </row>
    <row r="79" spans="4:46" ht="25.5" customHeight="1">
      <c r="D79" s="1">
        <v>42</v>
      </c>
      <c r="AB79" s="832" t="s">
        <v>1338</v>
      </c>
      <c r="AC79" s="781"/>
      <c r="AD79" s="781"/>
      <c r="AE79" s="781"/>
      <c r="AF79" s="781"/>
      <c r="AG79" s="781"/>
      <c r="AH79" s="781"/>
      <c r="AI79" s="781"/>
      <c r="AJ79" s="781"/>
      <c r="AK79" s="781"/>
      <c r="AL79" s="781"/>
      <c r="AM79" s="781"/>
      <c r="AN79" s="781"/>
      <c r="AO79" s="781"/>
      <c r="AP79" s="781"/>
      <c r="AQ79" s="781"/>
      <c r="AR79" s="781"/>
      <c r="AS79" s="781"/>
      <c r="AT79" s="781"/>
    </row>
    <row r="80" spans="4:46" ht="11.25" customHeight="1">
      <c r="D80" s="1">
        <v>18</v>
      </c>
      <c r="AB80" s="832" t="s">
        <v>1669</v>
      </c>
      <c r="AC80" s="781"/>
      <c r="AD80" s="781"/>
      <c r="AE80" s="781"/>
      <c r="AF80" s="781"/>
      <c r="AG80" s="781"/>
      <c r="AH80" s="781"/>
      <c r="AI80" s="781"/>
      <c r="AJ80" s="781"/>
      <c r="AK80" s="781"/>
      <c r="AL80" s="781"/>
      <c r="AM80" s="781"/>
      <c r="AN80" s="781"/>
      <c r="AO80" s="781"/>
      <c r="AP80" s="781"/>
      <c r="AQ80" s="781"/>
      <c r="AR80" s="781"/>
      <c r="AS80" s="781"/>
      <c r="AT80" s="781"/>
    </row>
    <row r="81" spans="4:46" ht="11.25" customHeight="1">
      <c r="D81" s="1">
        <v>18</v>
      </c>
      <c r="AB81" s="832" t="s">
        <v>1670</v>
      </c>
      <c r="AC81" s="781"/>
      <c r="AD81" s="781"/>
      <c r="AE81" s="781"/>
      <c r="AF81" s="781"/>
      <c r="AG81" s="781"/>
      <c r="AH81" s="781"/>
      <c r="AI81" s="781"/>
      <c r="AJ81" s="781"/>
      <c r="AK81" s="781"/>
      <c r="AL81" s="781"/>
      <c r="AM81" s="781"/>
      <c r="AN81" s="781"/>
      <c r="AO81" s="781"/>
      <c r="AP81" s="781"/>
      <c r="AQ81" s="781"/>
      <c r="AR81" s="781"/>
      <c r="AS81" s="781"/>
      <c r="AT81" s="781"/>
    </row>
    <row r="82" spans="4:46" ht="24.75" customHeight="1">
      <c r="D82" s="1">
        <v>40</v>
      </c>
      <c r="AB82" s="832" t="s">
        <v>1339</v>
      </c>
      <c r="AC82" s="781"/>
      <c r="AD82" s="781"/>
      <c r="AE82" s="781"/>
      <c r="AF82" s="781"/>
      <c r="AG82" s="781"/>
      <c r="AH82" s="781"/>
      <c r="AI82" s="781"/>
      <c r="AJ82" s="781"/>
      <c r="AK82" s="781"/>
      <c r="AL82" s="781"/>
      <c r="AM82" s="781"/>
      <c r="AN82" s="781"/>
      <c r="AO82" s="781"/>
      <c r="AP82" s="781"/>
      <c r="AQ82" s="781"/>
      <c r="AR82" s="781"/>
      <c r="AS82" s="781"/>
      <c r="AT82" s="781"/>
    </row>
    <row r="83" spans="4:46" ht="11.25" customHeight="1">
      <c r="D83" s="1">
        <v>18</v>
      </c>
      <c r="AB83" s="29" t="s">
        <v>1340</v>
      </c>
      <c r="AC83" s="1036"/>
      <c r="AD83" s="1037"/>
      <c r="AE83" s="29" t="s">
        <v>1304</v>
      </c>
      <c r="AF83" s="1036"/>
      <c r="AG83" s="1037"/>
    </row>
    <row r="84" spans="4:46" ht="11.25" customHeight="1">
      <c r="D84" s="1">
        <v>18</v>
      </c>
    </row>
    <row r="85" spans="4:46" ht="48.75" customHeight="1">
      <c r="D85" s="1">
        <v>79</v>
      </c>
      <c r="AB85" s="832" t="s">
        <v>1671</v>
      </c>
      <c r="AC85" s="781"/>
      <c r="AD85" s="781"/>
      <c r="AE85" s="781"/>
      <c r="AF85" s="781"/>
      <c r="AG85" s="781"/>
      <c r="AH85" s="781"/>
      <c r="AI85" s="781"/>
      <c r="AJ85" s="781"/>
      <c r="AK85" s="781"/>
      <c r="AL85" s="781"/>
      <c r="AM85" s="781"/>
      <c r="AN85" s="781"/>
      <c r="AO85" s="781"/>
      <c r="AP85" s="781"/>
      <c r="AQ85" s="781"/>
      <c r="AR85" s="781"/>
      <c r="AS85" s="781"/>
      <c r="AT85" s="781"/>
    </row>
    <row r="86" spans="4:46" ht="11.25" customHeight="1">
      <c r="D86" s="1">
        <v>18</v>
      </c>
      <c r="AB86" s="832" t="s">
        <v>1672</v>
      </c>
      <c r="AC86" s="781"/>
      <c r="AD86" s="781"/>
      <c r="AE86" s="781"/>
      <c r="AF86" s="781"/>
      <c r="AG86" s="781"/>
      <c r="AH86" s="781"/>
      <c r="AI86" s="781"/>
      <c r="AJ86" s="781"/>
      <c r="AK86" s="781"/>
      <c r="AL86" s="781"/>
      <c r="AM86" s="781"/>
      <c r="AN86" s="781"/>
      <c r="AO86" s="781"/>
      <c r="AP86" s="781"/>
      <c r="AQ86" s="781"/>
      <c r="AR86" s="781"/>
      <c r="AS86" s="781"/>
      <c r="AT86" s="781"/>
    </row>
    <row r="87" spans="4:46" ht="27" customHeight="1">
      <c r="D87" s="1">
        <v>44</v>
      </c>
      <c r="AB87" s="832" t="s">
        <v>1673</v>
      </c>
      <c r="AC87" s="781"/>
      <c r="AD87" s="781"/>
      <c r="AE87" s="781"/>
      <c r="AF87" s="781"/>
      <c r="AG87" s="781"/>
      <c r="AH87" s="781"/>
      <c r="AI87" s="781"/>
      <c r="AJ87" s="781"/>
      <c r="AK87" s="781"/>
      <c r="AL87" s="781"/>
      <c r="AM87" s="781"/>
      <c r="AN87" s="781"/>
      <c r="AO87" s="781"/>
      <c r="AP87" s="781"/>
      <c r="AQ87" s="781"/>
      <c r="AR87" s="781"/>
      <c r="AS87" s="781"/>
      <c r="AT87" s="781"/>
    </row>
    <row r="88" spans="4:46" ht="11.25" customHeight="1">
      <c r="D88" s="1">
        <v>18</v>
      </c>
      <c r="AB88" s="832" t="s">
        <v>1342</v>
      </c>
      <c r="AC88" s="781"/>
      <c r="AD88" s="781"/>
      <c r="AE88" s="781"/>
      <c r="AF88" s="781"/>
      <c r="AG88" s="781"/>
      <c r="AH88" s="781"/>
      <c r="AI88" s="781"/>
      <c r="AJ88" s="781"/>
      <c r="AK88" s="781"/>
      <c r="AL88" s="781"/>
      <c r="AM88" s="781"/>
      <c r="AN88" s="781"/>
      <c r="AO88" s="781"/>
      <c r="AP88" s="781"/>
      <c r="AQ88" s="781"/>
      <c r="AR88" s="781"/>
      <c r="AS88" s="781"/>
      <c r="AT88" s="781"/>
    </row>
    <row r="89" spans="4:46" ht="11.25" customHeight="1">
      <c r="D89" s="1">
        <v>18</v>
      </c>
    </row>
    <row r="90" spans="4:46" ht="11.25" customHeight="1">
      <c r="D90" s="1">
        <v>18</v>
      </c>
      <c r="AB90" s="1030" t="s">
        <v>1343</v>
      </c>
      <c r="AC90" s="781"/>
      <c r="AD90" s="781"/>
      <c r="AE90" s="781"/>
      <c r="AF90" s="781"/>
      <c r="AG90" s="781"/>
      <c r="AH90" s="781"/>
      <c r="AI90" s="781"/>
      <c r="AJ90" s="781"/>
      <c r="AK90" s="781"/>
      <c r="AL90" s="781"/>
      <c r="AM90" s="781"/>
      <c r="AN90" s="781"/>
      <c r="AO90" s="781"/>
      <c r="AP90" s="781"/>
      <c r="AQ90" s="781"/>
    </row>
    <row r="91" spans="4:46" ht="11.25" customHeight="1">
      <c r="D91" s="1">
        <v>18</v>
      </c>
      <c r="AB91" s="829" t="s">
        <v>1344</v>
      </c>
      <c r="AC91" s="781"/>
      <c r="AD91" s="781"/>
      <c r="AE91" s="781"/>
      <c r="AF91" s="781"/>
      <c r="AG91" s="781"/>
      <c r="AH91" s="781"/>
      <c r="AI91" s="781"/>
      <c r="AJ91" s="781"/>
      <c r="AK91" s="781"/>
      <c r="AL91" s="781"/>
      <c r="AM91" s="781"/>
      <c r="AN91" s="781"/>
      <c r="AO91" s="781"/>
      <c r="AP91" s="781"/>
      <c r="AQ91" s="781"/>
      <c r="AR91" s="781"/>
      <c r="AS91" s="781"/>
      <c r="AT91" s="781"/>
    </row>
    <row r="92" spans="4:46" ht="23.25" customHeight="1">
      <c r="D92" s="1">
        <v>37</v>
      </c>
      <c r="AB92" s="829" t="s">
        <v>1674</v>
      </c>
      <c r="AC92" s="781"/>
      <c r="AD92" s="781"/>
      <c r="AE92" s="781"/>
      <c r="AF92" s="781"/>
      <c r="AG92" s="781"/>
      <c r="AH92" s="781"/>
      <c r="AI92" s="781"/>
      <c r="AJ92" s="781"/>
      <c r="AK92" s="781"/>
      <c r="AL92" s="781"/>
      <c r="AM92" s="781"/>
      <c r="AN92" s="781"/>
      <c r="AO92" s="781"/>
      <c r="AP92" s="781"/>
      <c r="AQ92" s="781"/>
      <c r="AR92" s="781"/>
      <c r="AS92" s="781"/>
      <c r="AT92" s="781"/>
    </row>
    <row r="93" spans="4:46" ht="11.25" customHeight="1">
      <c r="D93" s="1">
        <v>18</v>
      </c>
      <c r="AB93" s="829" t="s">
        <v>1675</v>
      </c>
      <c r="AC93" s="781"/>
      <c r="AD93" s="781"/>
      <c r="AE93" s="781"/>
      <c r="AF93" s="781"/>
      <c r="AG93" s="781"/>
      <c r="AH93" s="781"/>
      <c r="AI93" s="781"/>
      <c r="AJ93" s="781"/>
      <c r="AK93" s="781"/>
      <c r="AL93" s="781"/>
      <c r="AM93" s="781"/>
      <c r="AN93" s="781"/>
      <c r="AO93" s="781"/>
      <c r="AP93" s="781"/>
      <c r="AQ93" s="781"/>
      <c r="AR93" s="781"/>
      <c r="AS93" s="781"/>
      <c r="AT93" s="781"/>
    </row>
    <row r="94" spans="4:46" ht="11.25" customHeight="1">
      <c r="D94" s="1">
        <v>18</v>
      </c>
      <c r="AB94" s="829" t="s">
        <v>1676</v>
      </c>
      <c r="AC94" s="781"/>
      <c r="AD94" s="781"/>
      <c r="AE94" s="781"/>
      <c r="AF94" s="781"/>
      <c r="AG94" s="781"/>
      <c r="AH94" s="781"/>
      <c r="AI94" s="781"/>
      <c r="AJ94" s="781"/>
      <c r="AK94" s="781"/>
      <c r="AL94" s="781"/>
      <c r="AM94" s="781"/>
      <c r="AN94" s="781"/>
      <c r="AO94" s="781"/>
      <c r="AP94" s="781"/>
      <c r="AQ94" s="781"/>
      <c r="AR94" s="781"/>
      <c r="AS94" s="781"/>
      <c r="AT94" s="781"/>
    </row>
    <row r="95" spans="4:46" ht="11.25" customHeight="1">
      <c r="D95" s="1">
        <v>18</v>
      </c>
      <c r="AB95" s="829" t="s">
        <v>1677</v>
      </c>
      <c r="AC95" s="781"/>
      <c r="AD95" s="781"/>
      <c r="AE95" s="781"/>
      <c r="AF95" s="781"/>
      <c r="AG95" s="781"/>
      <c r="AH95" s="781"/>
      <c r="AI95" s="781"/>
      <c r="AJ95" s="781"/>
      <c r="AK95" s="781"/>
      <c r="AL95" s="781"/>
      <c r="AM95" s="781"/>
      <c r="AN95" s="781"/>
      <c r="AO95" s="781"/>
      <c r="AP95" s="781"/>
      <c r="AQ95" s="781"/>
      <c r="AR95" s="781"/>
      <c r="AS95" s="781"/>
      <c r="AT95" s="781"/>
    </row>
    <row r="96" spans="4:46" ht="11.25" customHeight="1">
      <c r="D96" s="1">
        <v>18</v>
      </c>
      <c r="AB96" s="105" t="s">
        <v>1346</v>
      </c>
    </row>
    <row r="97" spans="4:46" ht="11.25" customHeight="1">
      <c r="D97" s="1">
        <v>18</v>
      </c>
      <c r="AB97" s="829" t="s">
        <v>1347</v>
      </c>
      <c r="AC97" s="781"/>
      <c r="AD97" s="781"/>
      <c r="AE97" s="781"/>
      <c r="AF97" s="781"/>
      <c r="AG97" s="781"/>
      <c r="AH97" s="781"/>
      <c r="AI97" s="781"/>
      <c r="AJ97" s="781"/>
      <c r="AK97" s="781"/>
      <c r="AL97" s="781"/>
      <c r="AM97" s="781"/>
      <c r="AN97" s="781"/>
      <c r="AO97" s="781"/>
      <c r="AP97" s="781"/>
      <c r="AQ97" s="781"/>
      <c r="AR97" s="781"/>
      <c r="AS97" s="781"/>
      <c r="AT97" s="781"/>
    </row>
    <row r="98" spans="4:46" ht="11.25" customHeight="1">
      <c r="D98" s="1">
        <v>18</v>
      </c>
      <c r="AB98" s="829" t="s">
        <v>1348</v>
      </c>
      <c r="AC98" s="781"/>
      <c r="AD98" s="781"/>
      <c r="AE98" s="781"/>
      <c r="AF98" s="781"/>
      <c r="AG98" s="781"/>
      <c r="AH98" s="781"/>
      <c r="AI98" s="781"/>
      <c r="AJ98" s="781"/>
      <c r="AK98" s="781"/>
      <c r="AL98" s="781"/>
      <c r="AM98" s="781"/>
      <c r="AN98" s="781"/>
      <c r="AO98" s="781"/>
      <c r="AP98" s="781"/>
      <c r="AQ98" s="781"/>
      <c r="AR98" s="781"/>
      <c r="AS98" s="781"/>
      <c r="AT98" s="781"/>
    </row>
    <row r="99" spans="4:46" ht="47.25" customHeight="1">
      <c r="D99" s="1">
        <v>76</v>
      </c>
      <c r="AB99" s="829" t="s">
        <v>1349</v>
      </c>
      <c r="AC99" s="781"/>
      <c r="AD99" s="781"/>
      <c r="AE99" s="781"/>
      <c r="AF99" s="781"/>
      <c r="AG99" s="781"/>
      <c r="AH99" s="781"/>
      <c r="AI99" s="781"/>
      <c r="AJ99" s="781"/>
      <c r="AK99" s="781"/>
      <c r="AL99" s="781"/>
      <c r="AM99" s="781"/>
      <c r="AN99" s="781"/>
      <c r="AO99" s="781"/>
      <c r="AP99" s="781"/>
      <c r="AQ99" s="781"/>
      <c r="AR99" s="781"/>
      <c r="AS99" s="781"/>
      <c r="AT99" s="781"/>
    </row>
    <row r="100" spans="4:46" ht="11.25" customHeight="1">
      <c r="D100" s="1">
        <v>18</v>
      </c>
      <c r="AB100" s="829" t="s">
        <v>1350</v>
      </c>
      <c r="AC100" s="781"/>
      <c r="AD100" s="781"/>
      <c r="AE100" s="781"/>
      <c r="AF100" s="781"/>
      <c r="AG100" s="781"/>
      <c r="AH100" s="781"/>
      <c r="AI100" s="781"/>
      <c r="AJ100" s="781"/>
      <c r="AK100" s="781"/>
      <c r="AL100" s="781"/>
      <c r="AM100" s="781"/>
      <c r="AN100" s="781"/>
      <c r="AO100" s="781"/>
      <c r="AP100" s="781"/>
      <c r="AQ100" s="781"/>
      <c r="AR100" s="781"/>
      <c r="AS100" s="781"/>
      <c r="AT100" s="781"/>
    </row>
    <row r="101" spans="4:46" ht="23.25" customHeight="1">
      <c r="D101" s="1">
        <v>37</v>
      </c>
      <c r="AB101" s="829" t="s">
        <v>1678</v>
      </c>
      <c r="AC101" s="781"/>
      <c r="AD101" s="781"/>
      <c r="AE101" s="781"/>
      <c r="AF101" s="781"/>
      <c r="AG101" s="781"/>
      <c r="AH101" s="781"/>
      <c r="AI101" s="781"/>
      <c r="AJ101" s="781"/>
      <c r="AK101" s="781"/>
      <c r="AL101" s="781"/>
      <c r="AM101" s="781"/>
      <c r="AN101" s="781"/>
      <c r="AO101" s="781"/>
      <c r="AP101" s="781"/>
      <c r="AQ101" s="781"/>
      <c r="AR101" s="781"/>
      <c r="AS101" s="781"/>
      <c r="AT101" s="781"/>
    </row>
    <row r="102" spans="4:46" ht="11.25" customHeight="1">
      <c r="D102" s="1">
        <v>18</v>
      </c>
      <c r="AB102" s="829" t="s">
        <v>1679</v>
      </c>
      <c r="AC102" s="781"/>
      <c r="AD102" s="781"/>
      <c r="AE102" s="781"/>
      <c r="AF102" s="781"/>
      <c r="AG102" s="781"/>
      <c r="AH102" s="781"/>
      <c r="AI102" s="781"/>
      <c r="AJ102" s="781"/>
      <c r="AK102" s="781"/>
      <c r="AL102" s="781"/>
      <c r="AM102" s="781"/>
      <c r="AN102" s="781"/>
      <c r="AO102" s="781"/>
      <c r="AP102" s="781"/>
      <c r="AQ102" s="781"/>
      <c r="AR102" s="781"/>
      <c r="AS102" s="781"/>
      <c r="AT102" s="781"/>
    </row>
    <row r="103" spans="4:46" ht="11.25" customHeight="1">
      <c r="D103" s="1">
        <v>18</v>
      </c>
      <c r="AB103" s="781"/>
      <c r="AC103" s="781"/>
      <c r="AD103" s="781"/>
      <c r="AE103" s="781"/>
      <c r="AF103" s="781"/>
      <c r="AG103" s="781"/>
      <c r="AH103" s="781"/>
      <c r="AI103" s="781"/>
      <c r="AJ103" s="781"/>
      <c r="AK103" s="781"/>
      <c r="AL103" s="781"/>
      <c r="AM103" s="781"/>
      <c r="AN103" s="781"/>
      <c r="AO103" s="781"/>
      <c r="AP103" s="781"/>
      <c r="AQ103" s="781"/>
      <c r="AR103" s="781"/>
      <c r="AS103" s="781"/>
      <c r="AT103" s="781"/>
    </row>
    <row r="104" spans="4:46" ht="41.25" customHeight="1">
      <c r="D104" s="1">
        <v>66</v>
      </c>
      <c r="AB104" s="1038"/>
      <c r="AC104" s="1038"/>
      <c r="AD104" s="1038"/>
      <c r="AE104" s="1038"/>
      <c r="AF104" s="1038"/>
      <c r="AG104" s="1038"/>
      <c r="AH104" s="1038"/>
      <c r="AI104" s="1038"/>
      <c r="AJ104" s="1038"/>
      <c r="AK104" s="1038"/>
      <c r="AL104" s="1038"/>
      <c r="AM104" s="1038"/>
      <c r="AN104" s="1038"/>
      <c r="AO104" s="1038"/>
      <c r="AP104" s="1038"/>
      <c r="AQ104" s="1038"/>
      <c r="AR104" s="1038"/>
      <c r="AS104" s="1038"/>
    </row>
    <row r="105" spans="4:46" ht="11.25" hidden="1" customHeight="1">
      <c r="D105" s="1">
        <v>0</v>
      </c>
      <c r="AB105" s="781"/>
      <c r="AC105" s="781"/>
      <c r="AD105" s="781"/>
      <c r="AE105" s="781"/>
      <c r="AF105" s="781"/>
      <c r="AG105" s="781"/>
      <c r="AH105" s="781"/>
      <c r="AI105" s="781"/>
      <c r="AJ105" s="781"/>
      <c r="AK105" s="781"/>
      <c r="AL105" s="781"/>
      <c r="AM105" s="781"/>
      <c r="AN105" s="781"/>
      <c r="AO105" s="781"/>
      <c r="AP105" s="781"/>
      <c r="AQ105" s="781"/>
      <c r="AR105" s="781"/>
      <c r="AS105" s="781"/>
      <c r="AT105" s="781"/>
    </row>
    <row r="106" spans="4:46" ht="11.25" hidden="1" customHeight="1">
      <c r="D106" s="1">
        <v>0</v>
      </c>
      <c r="AB106" s="781"/>
      <c r="AC106" s="781"/>
      <c r="AD106" s="781"/>
      <c r="AE106" s="781"/>
      <c r="AF106" s="781"/>
      <c r="AG106" s="781"/>
      <c r="AH106" s="781"/>
      <c r="AI106" s="781"/>
      <c r="AJ106" s="781"/>
      <c r="AK106" s="781"/>
      <c r="AL106" s="781"/>
      <c r="AM106" s="781"/>
      <c r="AN106" s="781"/>
      <c r="AO106" s="781"/>
      <c r="AP106" s="781"/>
      <c r="AQ106" s="781"/>
      <c r="AR106" s="781"/>
      <c r="AS106" s="781"/>
      <c r="AT106" s="781"/>
    </row>
    <row r="107" spans="4:46" ht="11.25" hidden="1" customHeight="1">
      <c r="D107" s="1">
        <v>0</v>
      </c>
      <c r="AB107" s="781"/>
      <c r="AC107" s="781"/>
      <c r="AD107" s="781"/>
      <c r="AE107" s="781"/>
      <c r="AF107" s="781"/>
      <c r="AG107" s="781"/>
      <c r="AH107" s="781"/>
      <c r="AI107" s="781"/>
      <c r="AJ107" s="781"/>
      <c r="AK107" s="781"/>
      <c r="AL107" s="781"/>
      <c r="AM107" s="781"/>
      <c r="AN107" s="781"/>
      <c r="AO107" s="781"/>
      <c r="AP107" s="781"/>
      <c r="AQ107" s="781"/>
      <c r="AR107" s="781"/>
      <c r="AS107" s="781"/>
      <c r="AT107" s="781"/>
    </row>
    <row r="108" spans="4:46" ht="11.25" hidden="1" customHeight="1">
      <c r="D108" s="1">
        <v>0</v>
      </c>
      <c r="AB108" s="781"/>
      <c r="AC108" s="781"/>
      <c r="AD108" s="781"/>
      <c r="AE108" s="781"/>
      <c r="AF108" s="781"/>
      <c r="AG108" s="781"/>
      <c r="AH108" s="781"/>
      <c r="AI108" s="781"/>
      <c r="AJ108" s="781"/>
      <c r="AK108" s="781"/>
      <c r="AL108" s="781"/>
      <c r="AM108" s="781"/>
      <c r="AN108" s="781"/>
      <c r="AO108" s="781"/>
      <c r="AP108" s="781"/>
      <c r="AQ108" s="781"/>
      <c r="AR108" s="781"/>
      <c r="AS108" s="781"/>
      <c r="AT108" s="781"/>
    </row>
    <row r="109" spans="4:46" ht="11.25" hidden="1" customHeight="1">
      <c r="D109" s="1">
        <v>0</v>
      </c>
    </row>
    <row r="110" spans="4:46" ht="11.25" customHeight="1">
      <c r="D110" s="1">
        <v>18</v>
      </c>
      <c r="AB110" s="1030" t="s">
        <v>1352</v>
      </c>
      <c r="AC110" s="781"/>
      <c r="AD110" s="781"/>
      <c r="AE110" s="781"/>
      <c r="AF110" s="781"/>
      <c r="AG110" s="781"/>
      <c r="AH110" s="781"/>
      <c r="AI110" s="781"/>
      <c r="AJ110" s="781"/>
      <c r="AK110" s="781"/>
      <c r="AL110" s="781"/>
      <c r="AM110" s="781"/>
      <c r="AN110" s="781"/>
      <c r="AO110" s="781"/>
      <c r="AP110" s="781"/>
      <c r="AQ110" s="781"/>
    </row>
    <row r="111" spans="4:46" ht="11.25" customHeight="1">
      <c r="D111" s="1">
        <v>18</v>
      </c>
    </row>
    <row r="112" spans="4:46" ht="11.25" customHeight="1">
      <c r="D112" s="1">
        <v>18</v>
      </c>
      <c r="AB112" s="1030" t="s">
        <v>1353</v>
      </c>
      <c r="AC112" s="781"/>
      <c r="AD112" s="781"/>
      <c r="AE112" s="781"/>
      <c r="AF112" s="781"/>
      <c r="AG112" s="781"/>
      <c r="AH112" s="781"/>
      <c r="AI112" s="781"/>
      <c r="AJ112" s="781"/>
      <c r="AK112" s="781"/>
      <c r="AL112" s="781"/>
      <c r="AM112" s="781"/>
      <c r="AN112" s="781"/>
      <c r="AO112" s="781"/>
      <c r="AP112" s="781"/>
      <c r="AQ112" s="781"/>
    </row>
    <row r="113" spans="4:46" ht="11.25" customHeight="1">
      <c r="D113" s="1">
        <v>18</v>
      </c>
      <c r="AB113" s="829" t="s">
        <v>1297</v>
      </c>
      <c r="AC113" s="781"/>
      <c r="AD113" s="781"/>
      <c r="AE113" s="781"/>
      <c r="AF113" s="781"/>
      <c r="AG113" s="1038"/>
      <c r="AH113" s="1038"/>
      <c r="AI113" s="1038"/>
      <c r="AJ113" s="1038"/>
      <c r="AK113" s="1038"/>
      <c r="AL113" s="1038"/>
      <c r="AM113" s="1038"/>
      <c r="AN113" s="1038"/>
      <c r="AO113" s="1038"/>
      <c r="AP113" s="1038"/>
      <c r="AQ113" s="1038"/>
    </row>
    <row r="114" spans="4:46" ht="11.25" customHeight="1">
      <c r="D114" s="1">
        <v>18</v>
      </c>
      <c r="AB114" s="829" t="s">
        <v>1298</v>
      </c>
      <c r="AC114" s="781"/>
      <c r="AD114" s="781"/>
      <c r="AE114" s="781"/>
      <c r="AF114" s="781"/>
      <c r="AG114" s="1025" t="s">
        <v>1654</v>
      </c>
      <c r="AH114" s="781"/>
      <c r="AI114" s="781"/>
      <c r="AJ114" s="781"/>
      <c r="AK114" s="781"/>
      <c r="AL114" s="781"/>
      <c r="AM114" s="781"/>
      <c r="AN114" s="781"/>
      <c r="AO114" s="781"/>
      <c r="AP114" s="781"/>
      <c r="AQ114" s="781"/>
    </row>
    <row r="115" spans="4:46" ht="11.25" customHeight="1">
      <c r="D115" s="1">
        <v>18</v>
      </c>
      <c r="AB115" s="829" t="s">
        <v>1354</v>
      </c>
      <c r="AC115" s="781"/>
      <c r="AD115" s="781"/>
      <c r="AE115" s="781"/>
      <c r="AF115" s="781"/>
      <c r="AG115" s="878"/>
      <c r="AH115" s="1038"/>
      <c r="AI115" s="1038"/>
      <c r="AJ115" s="1038"/>
      <c r="AK115" s="1038"/>
      <c r="AL115" s="1038"/>
      <c r="AM115" s="1038"/>
      <c r="AN115" s="1038"/>
      <c r="AO115" s="1038"/>
      <c r="AP115" s="1038"/>
      <c r="AQ115" s="1038"/>
    </row>
    <row r="116" spans="4:46" ht="11.25" customHeight="1">
      <c r="D116" s="1">
        <v>18</v>
      </c>
      <c r="AB116" s="829" t="s">
        <v>1355</v>
      </c>
      <c r="AC116" s="781"/>
      <c r="AD116" s="781"/>
      <c r="AE116" s="781"/>
      <c r="AF116" s="781"/>
      <c r="AG116" s="878"/>
      <c r="AH116" s="1038"/>
      <c r="AI116" s="1038"/>
      <c r="AJ116" s="1038"/>
      <c r="AK116" s="1038"/>
      <c r="AL116" s="1038"/>
      <c r="AM116" s="1038"/>
      <c r="AN116" s="1038"/>
      <c r="AO116" s="1038"/>
      <c r="AP116" s="1038"/>
      <c r="AQ116" s="1038"/>
    </row>
    <row r="117" spans="4:46" ht="11.25" customHeight="1">
      <c r="D117" s="1">
        <v>18</v>
      </c>
      <c r="AB117" s="829" t="s">
        <v>385</v>
      </c>
      <c r="AC117" s="781"/>
      <c r="AD117" s="781"/>
      <c r="AE117" s="781"/>
      <c r="AF117" s="781"/>
      <c r="AG117" s="1038"/>
      <c r="AH117" s="1038"/>
      <c r="AI117" s="1038"/>
      <c r="AJ117" s="1038"/>
      <c r="AK117" s="1038"/>
      <c r="AL117" s="1038"/>
      <c r="AM117" s="1038"/>
      <c r="AN117" s="1038"/>
      <c r="AO117" s="1038"/>
      <c r="AP117" s="1038"/>
      <c r="AQ117" s="1038"/>
    </row>
    <row r="118" spans="4:46" ht="11.25" customHeight="1">
      <c r="D118" s="1">
        <v>18</v>
      </c>
      <c r="AB118" s="105" t="s">
        <v>1356</v>
      </c>
      <c r="AG118" s="1038"/>
      <c r="AH118" s="1038"/>
      <c r="AI118" s="1038"/>
      <c r="AJ118" s="1038"/>
      <c r="AK118" s="1038"/>
      <c r="AL118" s="1038"/>
      <c r="AM118" s="1038"/>
      <c r="AN118" s="1038"/>
      <c r="AO118" s="1038"/>
      <c r="AP118" s="1038"/>
      <c r="AQ118" s="1038"/>
    </row>
    <row r="119" spans="4:46" ht="11.25" customHeight="1">
      <c r="D119" s="1">
        <v>18</v>
      </c>
      <c r="AB119" s="105" t="s">
        <v>1357</v>
      </c>
      <c r="AG119" s="1038"/>
      <c r="AH119" s="1038"/>
      <c r="AI119" s="1038"/>
      <c r="AJ119" s="1038"/>
      <c r="AK119" s="1038"/>
      <c r="AL119" s="1038"/>
      <c r="AM119" s="1038"/>
      <c r="AN119" s="1038"/>
      <c r="AO119" s="1038"/>
      <c r="AP119" s="1038"/>
      <c r="AQ119" s="1038"/>
    </row>
    <row r="120" spans="4:46" ht="11.25" customHeight="1">
      <c r="D120" s="1">
        <v>18</v>
      </c>
      <c r="AB120" s="105" t="s">
        <v>1358</v>
      </c>
      <c r="AG120" s="1038"/>
      <c r="AH120" s="1038"/>
      <c r="AI120" s="1038"/>
      <c r="AJ120" s="1038"/>
      <c r="AK120" s="1038"/>
      <c r="AL120" s="1038"/>
      <c r="AM120" s="1038"/>
      <c r="AN120" s="1038"/>
      <c r="AO120" s="1038"/>
      <c r="AP120" s="1038"/>
      <c r="AQ120" s="1038"/>
    </row>
    <row r="121" spans="4:46" ht="11.25" customHeight="1">
      <c r="D121" s="1">
        <v>18</v>
      </c>
      <c r="AB121" s="105" t="s">
        <v>1359</v>
      </c>
      <c r="AG121" s="1038"/>
      <c r="AH121" s="1038"/>
      <c r="AI121" s="1038"/>
      <c r="AJ121" s="1038"/>
      <c r="AK121" s="1038"/>
      <c r="AL121" s="1038"/>
      <c r="AM121" s="1038"/>
      <c r="AN121" s="1038"/>
      <c r="AO121" s="1038"/>
      <c r="AP121" s="1038"/>
      <c r="AQ121" s="1038"/>
    </row>
    <row r="122" spans="4:46" ht="11.25" customHeight="1">
      <c r="D122" s="1">
        <v>18</v>
      </c>
    </row>
    <row r="123" spans="4:46" ht="11.25" customHeight="1">
      <c r="D123" s="1">
        <v>18</v>
      </c>
      <c r="AB123" s="105" t="s">
        <v>1680</v>
      </c>
      <c r="AG123" s="878"/>
      <c r="AH123" s="878"/>
      <c r="AI123" s="878"/>
      <c r="AJ123" s="878"/>
      <c r="AK123" s="878"/>
      <c r="AL123" s="878"/>
      <c r="AM123" s="878"/>
      <c r="AN123" s="878"/>
      <c r="AO123" s="878"/>
      <c r="AP123" s="878"/>
      <c r="AQ123" s="878"/>
    </row>
    <row r="124" spans="4:46" ht="11.25" customHeight="1">
      <c r="D124" s="1">
        <v>18</v>
      </c>
      <c r="AB124" s="105">
        <v>0</v>
      </c>
      <c r="AG124" s="1038"/>
      <c r="AH124" s="1038"/>
      <c r="AI124" s="1038"/>
      <c r="AJ124" s="1038"/>
      <c r="AK124" s="1038"/>
      <c r="AL124" s="1038"/>
      <c r="AM124" s="1038"/>
      <c r="AN124" s="1038"/>
      <c r="AO124" s="1038"/>
      <c r="AP124" s="1038"/>
      <c r="AQ124" s="1038"/>
    </row>
    <row r="125" spans="4:46" ht="11.25" customHeight="1">
      <c r="D125" s="1">
        <v>18</v>
      </c>
    </row>
    <row r="126" spans="4:46" ht="23.25" customHeight="1">
      <c r="D126" s="1">
        <v>37</v>
      </c>
      <c r="AB126" s="829" t="s">
        <v>1681</v>
      </c>
      <c r="AC126" s="781"/>
      <c r="AD126" s="781"/>
      <c r="AE126" s="781"/>
      <c r="AF126" s="781"/>
      <c r="AG126" s="781"/>
      <c r="AH126" s="781"/>
      <c r="AI126" s="781"/>
      <c r="AJ126" s="781"/>
      <c r="AK126" s="781"/>
      <c r="AL126" s="781"/>
      <c r="AM126" s="781"/>
      <c r="AN126" s="781"/>
      <c r="AO126" s="781"/>
      <c r="AP126" s="781"/>
      <c r="AQ126" s="781"/>
      <c r="AR126" s="781"/>
      <c r="AS126" s="781"/>
      <c r="AT126" s="781"/>
    </row>
    <row r="127" spans="4:46" ht="11.25" customHeight="1">
      <c r="D127" s="1">
        <v>18</v>
      </c>
      <c r="AB127" s="105" t="s">
        <v>1682</v>
      </c>
      <c r="AH127" s="235"/>
      <c r="AI127" s="235"/>
      <c r="AJ127" s="235"/>
      <c r="AK127" s="235"/>
      <c r="AL127" s="235"/>
      <c r="AM127" s="235"/>
      <c r="AN127" s="235"/>
      <c r="AO127" s="235"/>
      <c r="AP127" s="235"/>
      <c r="AQ127" s="235"/>
    </row>
    <row r="128" spans="4:46" ht="24" customHeight="1">
      <c r="D128" s="1">
        <v>39</v>
      </c>
      <c r="AB128" s="105" t="s">
        <v>1361</v>
      </c>
      <c r="AG128" s="1046"/>
      <c r="AH128" s="1046"/>
      <c r="AI128" s="1046"/>
      <c r="AJ128" s="1046"/>
      <c r="AK128" s="1046"/>
      <c r="AL128" s="1046"/>
      <c r="AM128" s="1046"/>
      <c r="AN128" s="1046"/>
      <c r="AO128" s="1046"/>
      <c r="AP128" s="1046"/>
      <c r="AQ128" s="1046"/>
    </row>
    <row r="129" spans="4:39" ht="11.25" customHeight="1">
      <c r="D129" s="1">
        <v>18</v>
      </c>
    </row>
    <row r="130" spans="4:39" ht="11.25" customHeight="1">
      <c r="D130" s="1">
        <v>18</v>
      </c>
      <c r="AB130" s="105" t="s">
        <v>1683</v>
      </c>
    </row>
    <row r="131" spans="4:39" ht="11.25" customHeight="1">
      <c r="D131" s="1">
        <v>18</v>
      </c>
    </row>
    <row r="132" spans="4:39" ht="35.25" customHeight="1">
      <c r="D132" s="1">
        <v>56</v>
      </c>
      <c r="AB132" s="861" t="str">
        <f>ORG</f>
        <v>МУП "Горэлектросети"</v>
      </c>
      <c r="AC132" s="781"/>
      <c r="AD132" s="781"/>
    </row>
    <row r="133" spans="4:39" ht="23.25" customHeight="1">
      <c r="D133" s="1">
        <v>37</v>
      </c>
      <c r="AB133" s="113" t="s">
        <v>509</v>
      </c>
      <c r="AC133" s="1039" t="s">
        <v>526</v>
      </c>
      <c r="AD133" s="1039"/>
      <c r="AE133" s="1039"/>
      <c r="AF133" s="1039"/>
      <c r="AG133" s="1039"/>
      <c r="AH133" s="156" t="s">
        <v>609</v>
      </c>
      <c r="AI133" s="66">
        <v>2018</v>
      </c>
      <c r="AJ133" s="66">
        <v>2019</v>
      </c>
      <c r="AK133" s="66">
        <v>2020</v>
      </c>
      <c r="AL133" s="66" t="s">
        <v>1362</v>
      </c>
      <c r="AM133" s="66" t="s">
        <v>1363</v>
      </c>
    </row>
    <row r="134" spans="4:39" ht="11.25" customHeight="1">
      <c r="D134" s="1">
        <v>18</v>
      </c>
      <c r="AB134" s="355">
        <v>1</v>
      </c>
      <c r="AC134" s="1040" t="s">
        <v>1364</v>
      </c>
      <c r="AD134" s="1041"/>
      <c r="AE134" s="1041"/>
      <c r="AF134" s="1041"/>
      <c r="AG134" s="1042"/>
      <c r="AH134" s="356"/>
      <c r="AI134" s="357"/>
      <c r="AJ134" s="357"/>
      <c r="AK134" s="357"/>
      <c r="AL134" s="358"/>
      <c r="AM134" s="358"/>
    </row>
    <row r="135" spans="4:39" ht="23.25" customHeight="1">
      <c r="D135" s="1">
        <v>37</v>
      </c>
      <c r="AB135" s="141" t="s">
        <v>618</v>
      </c>
      <c r="AC135" s="1043" t="s">
        <v>1365</v>
      </c>
      <c r="AD135" s="1044"/>
      <c r="AE135" s="1044"/>
      <c r="AF135" s="1044"/>
      <c r="AG135" s="1045"/>
      <c r="AH135" s="142" t="s">
        <v>1035</v>
      </c>
      <c r="AI135" s="75"/>
      <c r="AJ135" s="75"/>
      <c r="AK135" s="75"/>
      <c r="AL135" s="134">
        <v>0</v>
      </c>
      <c r="AM135" s="134">
        <v>0</v>
      </c>
    </row>
    <row r="136" spans="4:39" ht="23.25" customHeight="1">
      <c r="D136" s="1">
        <v>37</v>
      </c>
      <c r="AB136" s="141" t="s">
        <v>622</v>
      </c>
      <c r="AC136" s="1043" t="s">
        <v>1366</v>
      </c>
      <c r="AD136" s="1044"/>
      <c r="AE136" s="1044"/>
      <c r="AF136" s="1044"/>
      <c r="AG136" s="1045"/>
      <c r="AH136" s="142" t="s">
        <v>1035</v>
      </c>
      <c r="AI136" s="75"/>
      <c r="AJ136" s="75"/>
      <c r="AK136" s="75"/>
      <c r="AL136" s="134">
        <v>0</v>
      </c>
      <c r="AM136" s="134">
        <v>0</v>
      </c>
    </row>
    <row r="137" spans="4:39" ht="11.25" customHeight="1">
      <c r="D137" s="1">
        <v>18</v>
      </c>
      <c r="AB137" s="47" t="s">
        <v>759</v>
      </c>
      <c r="AC137" s="1040" t="s">
        <v>1367</v>
      </c>
      <c r="AD137" s="1041"/>
      <c r="AE137" s="1041"/>
      <c r="AF137" s="1041"/>
      <c r="AG137" s="1042"/>
      <c r="AH137" s="64" t="s">
        <v>1035</v>
      </c>
      <c r="AI137" s="75"/>
      <c r="AJ137" s="75"/>
      <c r="AK137" s="75"/>
      <c r="AL137" s="78">
        <v>0</v>
      </c>
      <c r="AM137" s="78">
        <v>0</v>
      </c>
    </row>
    <row r="138" spans="4:39" ht="23.25" customHeight="1">
      <c r="D138" s="1">
        <v>37</v>
      </c>
      <c r="AB138" s="141" t="s">
        <v>625</v>
      </c>
      <c r="AC138" s="1043" t="s">
        <v>1368</v>
      </c>
      <c r="AD138" s="1044"/>
      <c r="AE138" s="1044"/>
      <c r="AF138" s="1044"/>
      <c r="AG138" s="1045"/>
      <c r="AH138" s="142" t="s">
        <v>1035</v>
      </c>
      <c r="AI138" s="75"/>
      <c r="AJ138" s="75"/>
      <c r="AK138" s="75"/>
      <c r="AL138" s="134">
        <v>0</v>
      </c>
      <c r="AM138" s="134">
        <v>0</v>
      </c>
    </row>
    <row r="139" spans="4:39" ht="23.25" customHeight="1">
      <c r="D139" s="1">
        <v>37</v>
      </c>
      <c r="AB139" s="141" t="s">
        <v>628</v>
      </c>
      <c r="AC139" s="1043" t="s">
        <v>1369</v>
      </c>
      <c r="AD139" s="1044"/>
      <c r="AE139" s="1044"/>
      <c r="AF139" s="1044"/>
      <c r="AG139" s="1045"/>
      <c r="AH139" s="142" t="s">
        <v>1035</v>
      </c>
      <c r="AI139" s="75"/>
      <c r="AJ139" s="75"/>
      <c r="AK139" s="75"/>
      <c r="AL139" s="134">
        <v>0</v>
      </c>
      <c r="AM139" s="134">
        <v>0</v>
      </c>
    </row>
    <row r="140" spans="4:39" ht="31.5" customHeight="1">
      <c r="D140" s="1">
        <v>52</v>
      </c>
      <c r="AB140" s="141" t="s">
        <v>902</v>
      </c>
      <c r="AC140" s="1043" t="s">
        <v>1370</v>
      </c>
      <c r="AD140" s="1044"/>
      <c r="AE140" s="1044"/>
      <c r="AF140" s="1044"/>
      <c r="AG140" s="1045"/>
      <c r="AH140" s="142" t="s">
        <v>1035</v>
      </c>
      <c r="AI140" s="75"/>
      <c r="AJ140" s="75"/>
      <c r="AK140" s="75"/>
      <c r="AL140" s="134">
        <v>0</v>
      </c>
      <c r="AM140" s="134">
        <v>0</v>
      </c>
    </row>
    <row r="141" spans="4:39" ht="22.5" customHeight="1">
      <c r="D141" s="1">
        <v>36</v>
      </c>
      <c r="AB141" s="47" t="s">
        <v>530</v>
      </c>
      <c r="AC141" s="1040" t="s">
        <v>1371</v>
      </c>
      <c r="AD141" s="1041"/>
      <c r="AE141" s="1041"/>
      <c r="AF141" s="1041"/>
      <c r="AG141" s="1042"/>
      <c r="AH141" s="64"/>
      <c r="AI141" s="357"/>
      <c r="AJ141" s="357"/>
      <c r="AK141" s="359"/>
      <c r="AL141" s="357"/>
      <c r="AM141" s="357"/>
    </row>
    <row r="142" spans="4:39" ht="23.25" customHeight="1">
      <c r="D142" s="1">
        <v>37</v>
      </c>
      <c r="AB142" s="141" t="s">
        <v>632</v>
      </c>
      <c r="AC142" s="1043" t="s">
        <v>1372</v>
      </c>
      <c r="AD142" s="1044"/>
      <c r="AE142" s="1044"/>
      <c r="AF142" s="1044"/>
      <c r="AG142" s="1045"/>
      <c r="AH142" s="142" t="s">
        <v>1035</v>
      </c>
      <c r="AI142" s="75"/>
      <c r="AJ142" s="75"/>
      <c r="AK142" s="75"/>
      <c r="AL142" s="134">
        <v>0</v>
      </c>
      <c r="AM142" s="134">
        <v>0</v>
      </c>
    </row>
    <row r="143" spans="4:39" ht="23.25" customHeight="1">
      <c r="D143" s="1">
        <v>37</v>
      </c>
      <c r="AB143" s="141" t="s">
        <v>762</v>
      </c>
      <c r="AC143" s="1043" t="s">
        <v>1373</v>
      </c>
      <c r="AD143" s="1044"/>
      <c r="AE143" s="1044"/>
      <c r="AF143" s="1044"/>
      <c r="AG143" s="1045"/>
      <c r="AH143" s="142" t="s">
        <v>1035</v>
      </c>
      <c r="AI143" s="75"/>
      <c r="AJ143" s="75"/>
      <c r="AK143" s="75"/>
      <c r="AL143" s="134">
        <v>0</v>
      </c>
      <c r="AM143" s="134">
        <v>0</v>
      </c>
    </row>
    <row r="144" spans="4:39" ht="11.25" customHeight="1">
      <c r="D144" s="1">
        <v>18</v>
      </c>
      <c r="AB144" s="47" t="s">
        <v>532</v>
      </c>
      <c r="AC144" s="1040" t="s">
        <v>1374</v>
      </c>
      <c r="AD144" s="1041"/>
      <c r="AE144" s="1041"/>
      <c r="AF144" s="1041"/>
      <c r="AG144" s="1042"/>
      <c r="AH144" s="64"/>
      <c r="AI144" s="357"/>
      <c r="AJ144" s="357"/>
      <c r="AK144" s="359"/>
      <c r="AL144" s="357"/>
      <c r="AM144" s="357"/>
    </row>
    <row r="145" spans="4:39" ht="11.25" customHeight="1">
      <c r="D145" s="1">
        <v>18</v>
      </c>
      <c r="AB145" s="141" t="s">
        <v>637</v>
      </c>
      <c r="AC145" s="1043" t="s">
        <v>616</v>
      </c>
      <c r="AD145" s="1044"/>
      <c r="AE145" s="1044"/>
      <c r="AF145" s="1044"/>
      <c r="AG145" s="1045"/>
      <c r="AH145" s="142" t="s">
        <v>1035</v>
      </c>
      <c r="AI145" s="75"/>
      <c r="AJ145" s="75"/>
      <c r="AK145" s="75"/>
      <c r="AL145" s="134">
        <v>0</v>
      </c>
      <c r="AM145" s="134">
        <v>0</v>
      </c>
    </row>
    <row r="146" spans="4:39" ht="11.25" customHeight="1">
      <c r="D146" s="1">
        <v>18</v>
      </c>
      <c r="AB146" s="47" t="s">
        <v>988</v>
      </c>
      <c r="AC146" s="1040" t="s">
        <v>1375</v>
      </c>
      <c r="AD146" s="1041"/>
      <c r="AE146" s="1041"/>
      <c r="AF146" s="1041"/>
      <c r="AG146" s="1042"/>
      <c r="AH146" s="64" t="s">
        <v>1035</v>
      </c>
      <c r="AI146" s="75"/>
      <c r="AJ146" s="75"/>
      <c r="AK146" s="75"/>
      <c r="AL146" s="78">
        <v>0</v>
      </c>
      <c r="AM146" s="78">
        <v>0</v>
      </c>
    </row>
    <row r="147" spans="4:39" ht="11.25" customHeight="1">
      <c r="D147" s="1">
        <v>18</v>
      </c>
      <c r="AB147" s="141" t="s">
        <v>642</v>
      </c>
      <c r="AC147" s="1043" t="s">
        <v>1376</v>
      </c>
      <c r="AD147" s="1044"/>
      <c r="AE147" s="1044"/>
      <c r="AF147" s="1044"/>
      <c r="AG147" s="1045"/>
      <c r="AH147" s="142" t="s">
        <v>1035</v>
      </c>
      <c r="AI147" s="75"/>
      <c r="AJ147" s="75"/>
      <c r="AK147" s="75"/>
      <c r="AL147" s="134">
        <v>0</v>
      </c>
      <c r="AM147" s="134">
        <v>0</v>
      </c>
    </row>
    <row r="148" spans="4:39" ht="11.25" customHeight="1">
      <c r="D148" s="1">
        <v>18</v>
      </c>
      <c r="AB148" s="47" t="s">
        <v>940</v>
      </c>
      <c r="AC148" s="1040" t="s">
        <v>1375</v>
      </c>
      <c r="AD148" s="1041"/>
      <c r="AE148" s="1041"/>
      <c r="AF148" s="1041"/>
      <c r="AG148" s="1042"/>
      <c r="AH148" s="64" t="s">
        <v>1035</v>
      </c>
      <c r="AI148" s="75"/>
      <c r="AJ148" s="75"/>
      <c r="AK148" s="75"/>
      <c r="AL148" s="78">
        <v>0</v>
      </c>
      <c r="AM148" s="78">
        <v>0</v>
      </c>
    </row>
    <row r="149" spans="4:39" ht="11.25" customHeight="1">
      <c r="D149" s="1">
        <v>18</v>
      </c>
      <c r="AB149" s="141" t="s">
        <v>647</v>
      </c>
      <c r="AC149" s="1043" t="s">
        <v>1377</v>
      </c>
      <c r="AD149" s="1044"/>
      <c r="AE149" s="1044"/>
      <c r="AF149" s="1044"/>
      <c r="AG149" s="1045"/>
      <c r="AH149" s="142" t="s">
        <v>1035</v>
      </c>
      <c r="AI149" s="75"/>
      <c r="AJ149" s="75"/>
      <c r="AK149" s="75"/>
      <c r="AL149" s="134">
        <v>0</v>
      </c>
      <c r="AM149" s="134">
        <v>0</v>
      </c>
    </row>
    <row r="150" spans="4:39" ht="11.25" customHeight="1">
      <c r="D150" s="1">
        <v>18</v>
      </c>
      <c r="AB150" s="47" t="s">
        <v>994</v>
      </c>
      <c r="AC150" s="1040" t="s">
        <v>1375</v>
      </c>
      <c r="AD150" s="1041"/>
      <c r="AE150" s="1041"/>
      <c r="AF150" s="1041"/>
      <c r="AG150" s="1042"/>
      <c r="AH150" s="64" t="s">
        <v>1035</v>
      </c>
      <c r="AI150" s="75"/>
      <c r="AJ150" s="75"/>
      <c r="AK150" s="75"/>
      <c r="AL150" s="78">
        <v>0</v>
      </c>
      <c r="AM150" s="78">
        <v>0</v>
      </c>
    </row>
    <row r="151" spans="4:39" ht="11.25" customHeight="1">
      <c r="D151" s="1">
        <v>18</v>
      </c>
      <c r="AB151" s="141" t="s">
        <v>652</v>
      </c>
      <c r="AC151" s="1043" t="s">
        <v>1378</v>
      </c>
      <c r="AD151" s="1044"/>
      <c r="AE151" s="1044"/>
      <c r="AF151" s="1044"/>
      <c r="AG151" s="1045"/>
      <c r="AH151" s="142" t="s">
        <v>1035</v>
      </c>
      <c r="AI151" s="75"/>
      <c r="AJ151" s="75"/>
      <c r="AK151" s="75"/>
      <c r="AL151" s="134">
        <v>0</v>
      </c>
      <c r="AM151" s="134">
        <v>0</v>
      </c>
    </row>
    <row r="152" spans="4:39" ht="11.25" customHeight="1">
      <c r="D152" s="1">
        <v>18</v>
      </c>
      <c r="AB152" s="47" t="s">
        <v>995</v>
      </c>
      <c r="AC152" s="1040" t="s">
        <v>1375</v>
      </c>
      <c r="AD152" s="1041"/>
      <c r="AE152" s="1041"/>
      <c r="AF152" s="1041"/>
      <c r="AG152" s="1042"/>
      <c r="AH152" s="64" t="s">
        <v>1035</v>
      </c>
      <c r="AI152" s="75"/>
      <c r="AJ152" s="75"/>
      <c r="AK152" s="75"/>
      <c r="AL152" s="78">
        <v>0</v>
      </c>
      <c r="AM152" s="78">
        <v>0</v>
      </c>
    </row>
    <row r="153" spans="4:39" ht="23.25" customHeight="1">
      <c r="D153" s="1">
        <v>37</v>
      </c>
      <c r="AB153" s="141" t="s">
        <v>656</v>
      </c>
      <c r="AC153" s="1043" t="s">
        <v>621</v>
      </c>
      <c r="AD153" s="1044"/>
      <c r="AE153" s="1044"/>
      <c r="AF153" s="1044"/>
      <c r="AG153" s="1045"/>
      <c r="AH153" s="142" t="s">
        <v>1035</v>
      </c>
      <c r="AI153" s="75"/>
      <c r="AJ153" s="75"/>
      <c r="AK153" s="75"/>
      <c r="AL153" s="134">
        <v>0</v>
      </c>
      <c r="AM153" s="134">
        <v>0</v>
      </c>
    </row>
    <row r="154" spans="4:39" ht="11.25" customHeight="1">
      <c r="D154" s="1">
        <v>18</v>
      </c>
      <c r="AB154" s="47" t="s">
        <v>1379</v>
      </c>
      <c r="AC154" s="1040" t="s">
        <v>1375</v>
      </c>
      <c r="AD154" s="1041"/>
      <c r="AE154" s="1041"/>
      <c r="AF154" s="1041"/>
      <c r="AG154" s="1042"/>
      <c r="AH154" s="64" t="s">
        <v>1035</v>
      </c>
      <c r="AI154" s="75"/>
      <c r="AJ154" s="75"/>
      <c r="AK154" s="75"/>
      <c r="AL154" s="78">
        <v>0</v>
      </c>
      <c r="AM154" s="78">
        <v>0</v>
      </c>
    </row>
    <row r="155" spans="4:39" ht="11.25" customHeight="1">
      <c r="D155" s="1">
        <v>18</v>
      </c>
      <c r="AB155" s="141" t="s">
        <v>912</v>
      </c>
      <c r="AC155" s="1043" t="s">
        <v>1380</v>
      </c>
      <c r="AD155" s="1044"/>
      <c r="AE155" s="1044"/>
      <c r="AF155" s="1044"/>
      <c r="AG155" s="1045"/>
      <c r="AH155" s="142" t="s">
        <v>1035</v>
      </c>
      <c r="AI155" s="75"/>
      <c r="AJ155" s="75"/>
      <c r="AK155" s="75"/>
      <c r="AL155" s="134">
        <v>0</v>
      </c>
      <c r="AM155" s="134">
        <v>0</v>
      </c>
    </row>
    <row r="156" spans="4:39" ht="11.25" customHeight="1">
      <c r="D156" s="1">
        <v>18</v>
      </c>
      <c r="AB156" s="47" t="s">
        <v>997</v>
      </c>
      <c r="AC156" s="1040" t="s">
        <v>1375</v>
      </c>
      <c r="AD156" s="1041"/>
      <c r="AE156" s="1041"/>
      <c r="AF156" s="1041"/>
      <c r="AG156" s="1042"/>
      <c r="AH156" s="64" t="s">
        <v>1035</v>
      </c>
      <c r="AI156" s="75"/>
      <c r="AJ156" s="75"/>
      <c r="AK156" s="75"/>
      <c r="AL156" s="78">
        <v>0</v>
      </c>
      <c r="AM156" s="78">
        <v>0</v>
      </c>
    </row>
    <row r="157" spans="4:39" ht="11.25" customHeight="1">
      <c r="D157" s="1">
        <v>18</v>
      </c>
      <c r="AB157" s="141" t="s">
        <v>913</v>
      </c>
      <c r="AC157" s="1043" t="s">
        <v>1381</v>
      </c>
      <c r="AD157" s="1044"/>
      <c r="AE157" s="1044"/>
      <c r="AF157" s="1044"/>
      <c r="AG157" s="1045"/>
      <c r="AH157" s="142" t="s">
        <v>1035</v>
      </c>
      <c r="AI157" s="75"/>
      <c r="AJ157" s="75"/>
      <c r="AK157" s="75"/>
      <c r="AL157" s="134">
        <v>0</v>
      </c>
      <c r="AM157" s="134">
        <v>0</v>
      </c>
    </row>
    <row r="158" spans="4:39" ht="11.25" customHeight="1">
      <c r="D158" s="1">
        <v>18</v>
      </c>
      <c r="AB158" s="47" t="s">
        <v>1382</v>
      </c>
      <c r="AC158" s="1040" t="s">
        <v>1375</v>
      </c>
      <c r="AD158" s="1041"/>
      <c r="AE158" s="1041"/>
      <c r="AF158" s="1041"/>
      <c r="AG158" s="1042"/>
      <c r="AH158" s="64" t="s">
        <v>1035</v>
      </c>
      <c r="AI158" s="75"/>
      <c r="AJ158" s="75"/>
      <c r="AK158" s="75"/>
      <c r="AL158" s="78">
        <v>0</v>
      </c>
      <c r="AM158" s="78">
        <v>0</v>
      </c>
    </row>
    <row r="159" spans="4:39" ht="23.25" customHeight="1">
      <c r="D159" s="1">
        <v>37</v>
      </c>
      <c r="AB159" s="141" t="s">
        <v>914</v>
      </c>
      <c r="AC159" s="1043" t="s">
        <v>1383</v>
      </c>
      <c r="AD159" s="1044"/>
      <c r="AE159" s="1044"/>
      <c r="AF159" s="1044"/>
      <c r="AG159" s="1045"/>
      <c r="AH159" s="142" t="s">
        <v>1035</v>
      </c>
      <c r="AI159" s="75"/>
      <c r="AJ159" s="75"/>
      <c r="AK159" s="75"/>
      <c r="AL159" s="134">
        <v>0</v>
      </c>
      <c r="AM159" s="134">
        <v>0</v>
      </c>
    </row>
    <row r="160" spans="4:39" ht="11.25" customHeight="1">
      <c r="D160" s="1">
        <v>18</v>
      </c>
      <c r="AB160" s="47" t="s">
        <v>1384</v>
      </c>
      <c r="AC160" s="1040" t="s">
        <v>1375</v>
      </c>
      <c r="AD160" s="1041"/>
      <c r="AE160" s="1041"/>
      <c r="AF160" s="1041"/>
      <c r="AG160" s="1042"/>
      <c r="AH160" s="64" t="s">
        <v>1035</v>
      </c>
      <c r="AI160" s="75"/>
      <c r="AJ160" s="75"/>
      <c r="AK160" s="75"/>
      <c r="AL160" s="78">
        <v>0</v>
      </c>
      <c r="AM160" s="78">
        <v>0</v>
      </c>
    </row>
    <row r="161" spans="4:46" ht="11.25" customHeight="1">
      <c r="D161" s="1">
        <v>18</v>
      </c>
      <c r="AB161" s="141" t="s">
        <v>915</v>
      </c>
      <c r="AC161" s="1043" t="s">
        <v>1385</v>
      </c>
      <c r="AD161" s="1044"/>
      <c r="AE161" s="1044"/>
      <c r="AF161" s="1044"/>
      <c r="AG161" s="1045"/>
      <c r="AH161" s="142" t="s">
        <v>1035</v>
      </c>
      <c r="AI161" s="134">
        <v>0</v>
      </c>
      <c r="AJ161" s="134">
        <v>0</v>
      </c>
      <c r="AK161" s="169">
        <v>0</v>
      </c>
      <c r="AL161" s="134">
        <v>0</v>
      </c>
      <c r="AM161" s="134">
        <v>0</v>
      </c>
    </row>
    <row r="162" spans="4:46" ht="11.25" customHeight="1">
      <c r="D162" s="1">
        <v>18</v>
      </c>
      <c r="AB162" s="47" t="s">
        <v>1386</v>
      </c>
      <c r="AC162" s="1040" t="s">
        <v>1375</v>
      </c>
      <c r="AD162" s="1041"/>
      <c r="AE162" s="1041"/>
      <c r="AF162" s="1041"/>
      <c r="AG162" s="1042"/>
      <c r="AH162" s="64" t="s">
        <v>1035</v>
      </c>
      <c r="AI162" s="75"/>
      <c r="AJ162" s="75"/>
      <c r="AK162" s="75"/>
      <c r="AL162" s="78">
        <v>0</v>
      </c>
      <c r="AM162" s="78">
        <v>0</v>
      </c>
    </row>
    <row r="163" spans="4:46" ht="11.25" customHeight="1">
      <c r="D163" s="1">
        <v>18</v>
      </c>
      <c r="AB163" s="141" t="s">
        <v>1001</v>
      </c>
      <c r="AC163" s="1043" t="s">
        <v>1387</v>
      </c>
      <c r="AD163" s="1044"/>
      <c r="AE163" s="1044"/>
      <c r="AF163" s="1044"/>
      <c r="AG163" s="1045"/>
      <c r="AH163" s="142" t="s">
        <v>1035</v>
      </c>
      <c r="AI163" s="75"/>
      <c r="AJ163" s="75"/>
      <c r="AK163" s="75"/>
      <c r="AL163" s="134">
        <v>0</v>
      </c>
      <c r="AM163" s="134">
        <v>0</v>
      </c>
    </row>
    <row r="164" spans="4:46" ht="11.25" customHeight="1">
      <c r="D164" s="1">
        <v>18</v>
      </c>
      <c r="AB164" s="47" t="s">
        <v>1388</v>
      </c>
      <c r="AC164" s="1040" t="s">
        <v>1375</v>
      </c>
      <c r="AD164" s="1041"/>
      <c r="AE164" s="1041"/>
      <c r="AF164" s="1041"/>
      <c r="AG164" s="1042"/>
      <c r="AH164" s="64" t="s">
        <v>1035</v>
      </c>
      <c r="AI164" s="75"/>
      <c r="AJ164" s="75"/>
      <c r="AK164" s="75"/>
      <c r="AL164" s="78">
        <v>0</v>
      </c>
      <c r="AM164" s="78">
        <v>0</v>
      </c>
    </row>
    <row r="165" spans="4:46" ht="11.25" customHeight="1">
      <c r="D165" s="1">
        <v>18</v>
      </c>
      <c r="AB165" s="47" t="s">
        <v>534</v>
      </c>
      <c r="AC165" s="1040" t="s">
        <v>1389</v>
      </c>
      <c r="AD165" s="1041"/>
      <c r="AE165" s="1041"/>
      <c r="AF165" s="1041"/>
      <c r="AG165" s="1042"/>
      <c r="AH165" s="64"/>
      <c r="AI165" s="64"/>
      <c r="AJ165" s="64"/>
      <c r="AK165" s="113"/>
      <c r="AL165" s="64"/>
      <c r="AM165" s="64"/>
    </row>
    <row r="166" spans="4:46" ht="11.25" customHeight="1">
      <c r="D166" s="1">
        <v>18</v>
      </c>
      <c r="AB166" s="141" t="s">
        <v>665</v>
      </c>
      <c r="AC166" s="1043" t="s">
        <v>1390</v>
      </c>
      <c r="AD166" s="1044"/>
      <c r="AE166" s="1044"/>
      <c r="AF166" s="1044"/>
      <c r="AG166" s="1045"/>
      <c r="AH166" s="142" t="s">
        <v>633</v>
      </c>
      <c r="AI166" s="360">
        <v>0</v>
      </c>
      <c r="AJ166" s="360">
        <v>0</v>
      </c>
      <c r="AK166" s="361">
        <v>0</v>
      </c>
      <c r="AL166" s="134">
        <v>0</v>
      </c>
      <c r="AM166" s="134">
        <v>0</v>
      </c>
    </row>
    <row r="167" spans="4:46" ht="11.25" customHeight="1">
      <c r="D167" s="1">
        <v>18</v>
      </c>
      <c r="AB167" s="141" t="s">
        <v>679</v>
      </c>
      <c r="AC167" s="1043" t="s">
        <v>1391</v>
      </c>
      <c r="AD167" s="1044"/>
      <c r="AE167" s="1044"/>
      <c r="AF167" s="1044"/>
      <c r="AG167" s="1045"/>
      <c r="AH167" s="142" t="s">
        <v>777</v>
      </c>
      <c r="AI167" s="134">
        <v>0</v>
      </c>
      <c r="AJ167" s="134">
        <v>0</v>
      </c>
      <c r="AK167" s="169">
        <v>0</v>
      </c>
      <c r="AL167" s="134">
        <v>0</v>
      </c>
      <c r="AM167" s="134">
        <v>0</v>
      </c>
    </row>
    <row r="168" spans="4:46" ht="23.25" customHeight="1">
      <c r="D168" s="1">
        <v>37</v>
      </c>
      <c r="AB168" s="141" t="s">
        <v>683</v>
      </c>
      <c r="AC168" s="1043" t="s">
        <v>1392</v>
      </c>
      <c r="AD168" s="1044"/>
      <c r="AE168" s="1044"/>
      <c r="AF168" s="1044"/>
      <c r="AG168" s="1045"/>
      <c r="AH168" s="142" t="s">
        <v>1035</v>
      </c>
      <c r="AI168" s="134">
        <v>0</v>
      </c>
      <c r="AJ168" s="134">
        <v>0</v>
      </c>
      <c r="AK168" s="169">
        <v>0</v>
      </c>
      <c r="AL168" s="134">
        <v>0</v>
      </c>
      <c r="AM168" s="134">
        <v>0</v>
      </c>
    </row>
    <row r="169" spans="4:46" ht="11.25" customHeight="1">
      <c r="D169" s="1">
        <v>18</v>
      </c>
      <c r="AB169" s="141" t="s">
        <v>686</v>
      </c>
      <c r="AC169" s="1043" t="s">
        <v>1393</v>
      </c>
      <c r="AD169" s="1044"/>
      <c r="AE169" s="1044"/>
      <c r="AF169" s="1044"/>
      <c r="AG169" s="1045"/>
      <c r="AH169" s="142" t="s">
        <v>633</v>
      </c>
      <c r="AI169" s="191">
        <v>0</v>
      </c>
      <c r="AJ169" s="191">
        <v>0</v>
      </c>
      <c r="AK169" s="362">
        <v>0</v>
      </c>
      <c r="AL169" s="134">
        <v>0</v>
      </c>
      <c r="AM169" s="134">
        <v>0</v>
      </c>
    </row>
    <row r="170" spans="4:46" ht="11.25" customHeight="1">
      <c r="D170" s="1">
        <v>18</v>
      </c>
    </row>
    <row r="171" spans="4:46" ht="26.25" customHeight="1">
      <c r="D171" s="1">
        <v>42</v>
      </c>
      <c r="AB171" s="829" t="s">
        <v>1684</v>
      </c>
      <c r="AC171" s="781"/>
      <c r="AD171" s="781"/>
      <c r="AE171" s="781"/>
      <c r="AF171" s="781"/>
      <c r="AG171" s="781"/>
      <c r="AH171" s="781"/>
      <c r="AI171" s="781"/>
      <c r="AJ171" s="781"/>
      <c r="AK171" s="781"/>
      <c r="AL171" s="363"/>
    </row>
    <row r="172" spans="4:46" ht="13.5" customHeight="1">
      <c r="D172" s="1">
        <v>23</v>
      </c>
      <c r="AB172" s="4" t="s">
        <v>1394</v>
      </c>
      <c r="AL172" s="363"/>
    </row>
    <row r="173" spans="4:46" ht="13.5" customHeight="1">
      <c r="D173" s="1">
        <v>23</v>
      </c>
    </row>
    <row r="174" spans="4:46" ht="14.25" customHeight="1">
      <c r="D174" s="1">
        <v>23</v>
      </c>
      <c r="AB174" s="829" t="s">
        <v>1685</v>
      </c>
      <c r="AC174" s="781"/>
      <c r="AD174" s="781"/>
      <c r="AE174" s="781"/>
      <c r="AF174" s="781"/>
      <c r="AG174" s="781"/>
      <c r="AH174" s="781"/>
      <c r="AI174" s="781"/>
      <c r="AJ174" s="781"/>
      <c r="AK174" s="781"/>
      <c r="AL174" s="781"/>
      <c r="AM174" s="781"/>
      <c r="AN174" s="781"/>
      <c r="AO174" s="781"/>
      <c r="AP174" s="781"/>
      <c r="AQ174" s="781"/>
      <c r="AR174" s="781"/>
      <c r="AS174" s="781"/>
      <c r="AT174" s="781"/>
    </row>
    <row r="175" spans="4:46" ht="13.5" customHeight="1">
      <c r="D175" s="1">
        <v>23</v>
      </c>
      <c r="AB175" s="4" t="s">
        <v>1396</v>
      </c>
      <c r="AL175" s="363"/>
    </row>
    <row r="176" spans="4:46" ht="13.5" customHeight="1">
      <c r="D176" s="1">
        <v>23</v>
      </c>
      <c r="AB176" s="4" t="s">
        <v>1397</v>
      </c>
      <c r="AL176" s="363"/>
    </row>
    <row r="177" spans="4:46" ht="13.5" customHeight="1">
      <c r="D177" s="1">
        <v>23</v>
      </c>
      <c r="AB177" s="29" t="s">
        <v>1686</v>
      </c>
      <c r="AL177" s="78">
        <v>0</v>
      </c>
      <c r="AM177" s="364">
        <v>0</v>
      </c>
    </row>
    <row r="178" spans="4:46" ht="13.5" customHeight="1">
      <c r="D178" s="1">
        <v>23</v>
      </c>
    </row>
    <row r="179" spans="4:46" ht="13.5" customHeight="1">
      <c r="D179" s="1">
        <v>23</v>
      </c>
      <c r="AB179" s="4" t="s">
        <v>1687</v>
      </c>
      <c r="AL179" s="363"/>
    </row>
    <row r="180" spans="4:46" ht="13.5" customHeight="1">
      <c r="D180" s="1">
        <v>23</v>
      </c>
      <c r="AB180" s="4" t="s">
        <v>1399</v>
      </c>
      <c r="AL180" s="363"/>
    </row>
    <row r="181" spans="4:46" ht="23.25" customHeight="1">
      <c r="D181" s="1">
        <v>37</v>
      </c>
      <c r="AB181" s="829" t="s">
        <v>1688</v>
      </c>
      <c r="AC181" s="781"/>
      <c r="AD181" s="781"/>
      <c r="AE181" s="781"/>
      <c r="AF181" s="781"/>
      <c r="AG181" s="781"/>
      <c r="AH181" s="781"/>
      <c r="AI181" s="781"/>
      <c r="AJ181" s="781"/>
      <c r="AK181" s="781"/>
      <c r="AL181" s="781"/>
      <c r="AM181" s="781"/>
      <c r="AN181" s="781"/>
      <c r="AO181" s="781"/>
      <c r="AP181" s="781"/>
      <c r="AQ181" s="781"/>
      <c r="AR181" s="781"/>
      <c r="AS181" s="781"/>
      <c r="AT181" s="781"/>
    </row>
    <row r="182" spans="4:46" ht="13.5" customHeight="1">
      <c r="D182" s="1">
        <v>23</v>
      </c>
      <c r="AB182" s="29" t="s">
        <v>1689</v>
      </c>
      <c r="AL182" s="363"/>
    </row>
    <row r="183" spans="4:46" ht="13.5" customHeight="1">
      <c r="D183" s="1">
        <v>23</v>
      </c>
      <c r="AB183" s="29" t="s">
        <v>1690</v>
      </c>
      <c r="AL183" s="363"/>
    </row>
    <row r="184" spans="4:46" ht="14.25" customHeight="1">
      <c r="D184" s="1">
        <v>23</v>
      </c>
      <c r="AB184" s="29" t="s">
        <v>1400</v>
      </c>
    </row>
    <row r="185" spans="4:46" ht="14.25" customHeight="1">
      <c r="D185" s="1">
        <v>23</v>
      </c>
      <c r="AB185" s="29" t="s">
        <v>1401</v>
      </c>
      <c r="AI185" s="363"/>
      <c r="AJ185" s="109" t="s">
        <v>1402</v>
      </c>
      <c r="AK185" s="128">
        <v>0</v>
      </c>
      <c r="AL185" s="1047" t="s">
        <v>1403</v>
      </c>
      <c r="AM185" s="781"/>
    </row>
    <row r="186" spans="4:46" ht="14.25" customHeight="1">
      <c r="D186" s="1">
        <v>23</v>
      </c>
      <c r="AB186" s="29" t="s">
        <v>1691</v>
      </c>
      <c r="AI186" s="363"/>
    </row>
    <row r="187" spans="4:46" ht="14.25" customHeight="1">
      <c r="D187" s="1">
        <v>23</v>
      </c>
      <c r="AB187" s="29" t="s">
        <v>1690</v>
      </c>
      <c r="AI187" s="363"/>
      <c r="AK187" s="128">
        <v>0</v>
      </c>
    </row>
    <row r="188" spans="4:46" ht="14.25" customHeight="1">
      <c r="D188" s="1">
        <v>23</v>
      </c>
      <c r="AB188" s="29" t="s">
        <v>1692</v>
      </c>
    </row>
    <row r="189" spans="4:46" ht="13.5" customHeight="1">
      <c r="D189" s="1">
        <v>23</v>
      </c>
      <c r="AB189" s="29" t="s">
        <v>1405</v>
      </c>
      <c r="AI189" s="363"/>
      <c r="AJ189" s="109" t="s">
        <v>1402</v>
      </c>
      <c r="AK189" s="128">
        <v>0</v>
      </c>
      <c r="AL189" s="1047" t="s">
        <v>1403</v>
      </c>
      <c r="AM189" s="781"/>
    </row>
    <row r="190" spans="4:46" ht="13.5" customHeight="1">
      <c r="D190" s="1">
        <v>23</v>
      </c>
      <c r="AB190" s="29" t="s">
        <v>1406</v>
      </c>
      <c r="AI190" s="363"/>
      <c r="AJ190" s="109" t="s">
        <v>1402</v>
      </c>
      <c r="AK190" s="128">
        <v>0</v>
      </c>
      <c r="AL190" s="1047" t="s">
        <v>1403</v>
      </c>
      <c r="AM190" s="781"/>
    </row>
    <row r="191" spans="4:46" ht="13.5" customHeight="1">
      <c r="D191" s="1">
        <v>23</v>
      </c>
      <c r="AB191" s="29" t="s">
        <v>1407</v>
      </c>
      <c r="AI191" s="363"/>
      <c r="AJ191" s="109" t="s">
        <v>1402</v>
      </c>
      <c r="AK191" s="128">
        <v>0</v>
      </c>
      <c r="AL191" s="1047" t="s">
        <v>1403</v>
      </c>
      <c r="AM191" s="781"/>
    </row>
    <row r="192" spans="4:46" ht="23.25" customHeight="1">
      <c r="D192" s="1">
        <v>37</v>
      </c>
      <c r="AB192" s="829" t="s">
        <v>1693</v>
      </c>
      <c r="AC192" s="781"/>
      <c r="AD192" s="781"/>
      <c r="AE192" s="781"/>
      <c r="AF192" s="781"/>
      <c r="AG192" s="781"/>
      <c r="AH192" s="781"/>
      <c r="AI192" s="781"/>
      <c r="AJ192" s="781"/>
      <c r="AK192" s="781"/>
      <c r="AL192" s="781"/>
      <c r="AM192" s="781"/>
      <c r="AN192" s="781"/>
      <c r="AO192" s="781"/>
      <c r="AP192" s="781"/>
      <c r="AQ192" s="781"/>
      <c r="AR192" s="781"/>
      <c r="AS192" s="781"/>
      <c r="AT192" s="781"/>
    </row>
    <row r="193" spans="4:46" ht="13.5" customHeight="1">
      <c r="D193" s="1">
        <v>23</v>
      </c>
      <c r="AB193" s="29" t="s">
        <v>1408</v>
      </c>
      <c r="AI193" s="363"/>
      <c r="AJ193" s="109" t="s">
        <v>1402</v>
      </c>
      <c r="AK193" s="128">
        <v>0</v>
      </c>
      <c r="AL193" s="1047" t="s">
        <v>1403</v>
      </c>
      <c r="AM193" s="781"/>
    </row>
    <row r="194" spans="4:46" ht="13.5" customHeight="1">
      <c r="D194" s="1">
        <v>23</v>
      </c>
      <c r="AB194" s="29" t="s">
        <v>1409</v>
      </c>
      <c r="AI194" s="363"/>
      <c r="AJ194" s="109" t="s">
        <v>1402</v>
      </c>
      <c r="AK194" s="128">
        <v>0</v>
      </c>
      <c r="AL194" s="1047" t="s">
        <v>1403</v>
      </c>
      <c r="AM194" s="781"/>
      <c r="AQ194" s="105" t="s">
        <v>1694</v>
      </c>
    </row>
    <row r="195" spans="4:46" ht="13.5" customHeight="1">
      <c r="D195" s="1">
        <v>23</v>
      </c>
      <c r="AB195" s="29" t="s">
        <v>1695</v>
      </c>
      <c r="AI195" s="363"/>
      <c r="AJ195" s="109" t="s">
        <v>1402</v>
      </c>
      <c r="AK195" s="128">
        <v>0</v>
      </c>
      <c r="AL195" s="1047" t="s">
        <v>1403</v>
      </c>
      <c r="AM195" s="781"/>
    </row>
    <row r="196" spans="4:46" ht="24.75" customHeight="1">
      <c r="D196" s="1">
        <v>40</v>
      </c>
      <c r="AB196" s="829" t="s">
        <v>1696</v>
      </c>
      <c r="AC196" s="781"/>
      <c r="AD196" s="781"/>
      <c r="AE196" s="781"/>
      <c r="AF196" s="781"/>
      <c r="AG196" s="781"/>
      <c r="AH196" s="781"/>
      <c r="AI196" s="781"/>
      <c r="AJ196" s="781"/>
      <c r="AK196" s="781"/>
      <c r="AL196" s="781"/>
      <c r="AM196" s="781"/>
      <c r="AN196" s="781"/>
      <c r="AO196" s="781"/>
      <c r="AP196" s="781"/>
      <c r="AQ196" s="781"/>
      <c r="AR196" s="781"/>
      <c r="AS196" s="781"/>
      <c r="AT196" s="781"/>
    </row>
    <row r="197" spans="4:46" ht="15" customHeight="1">
      <c r="D197" s="1">
        <v>24</v>
      </c>
      <c r="AB197" s="1048" t="s">
        <v>1697</v>
      </c>
      <c r="AC197" s="781"/>
      <c r="AD197" s="781"/>
      <c r="AE197" s="781"/>
      <c r="AF197" s="781"/>
      <c r="AG197" s="781"/>
      <c r="AH197" s="781"/>
      <c r="AI197" s="781"/>
      <c r="AJ197" s="363"/>
      <c r="AK197" s="109" t="s">
        <v>1411</v>
      </c>
      <c r="AL197" s="365">
        <v>-2</v>
      </c>
      <c r="AM197" s="1047" t="s">
        <v>1698</v>
      </c>
      <c r="AN197" s="781"/>
    </row>
    <row r="198" spans="4:46" ht="23.25" customHeight="1">
      <c r="D198" s="1">
        <v>37</v>
      </c>
      <c r="AB198" s="829" t="s">
        <v>1699</v>
      </c>
      <c r="AC198" s="781"/>
      <c r="AD198" s="781"/>
      <c r="AE198" s="781"/>
      <c r="AF198" s="781"/>
      <c r="AG198" s="781"/>
      <c r="AH198" s="781"/>
      <c r="AI198" s="781"/>
      <c r="AJ198" s="781"/>
      <c r="AK198" s="781"/>
      <c r="AL198" s="781"/>
      <c r="AM198" s="781"/>
      <c r="AN198" s="781"/>
      <c r="AO198" s="781"/>
      <c r="AP198" s="781"/>
      <c r="AQ198" s="781"/>
      <c r="AR198" s="781"/>
      <c r="AS198" s="781"/>
      <c r="AT198" s="781"/>
    </row>
    <row r="199" spans="4:46" ht="23.25" customHeight="1">
      <c r="D199" s="1">
        <v>37</v>
      </c>
      <c r="AB199" s="829" t="s">
        <v>1700</v>
      </c>
      <c r="AC199" s="781"/>
      <c r="AD199" s="781"/>
      <c r="AE199" s="781"/>
      <c r="AF199" s="781"/>
      <c r="AG199" s="781"/>
      <c r="AH199" s="781"/>
      <c r="AI199" s="781"/>
      <c r="AJ199" s="781"/>
      <c r="AK199" s="781"/>
      <c r="AL199" s="781"/>
      <c r="AM199" s="781"/>
      <c r="AN199" s="781"/>
      <c r="AO199" s="781"/>
      <c r="AP199" s="781"/>
      <c r="AQ199" s="781"/>
      <c r="AR199" s="781"/>
      <c r="AS199" s="781"/>
      <c r="AT199" s="781"/>
    </row>
    <row r="200" spans="4:46" ht="20.25" customHeight="1">
      <c r="D200" s="1">
        <v>32</v>
      </c>
      <c r="AB200" s="1030" t="s">
        <v>1701</v>
      </c>
      <c r="AC200" s="781"/>
      <c r="AD200" s="781"/>
      <c r="AE200" s="781"/>
      <c r="AF200" s="781"/>
      <c r="AG200" s="781"/>
      <c r="AH200" s="781"/>
      <c r="AI200" s="781"/>
      <c r="AJ200" s="363"/>
    </row>
    <row r="201" spans="4:46" ht="23.25" customHeight="1">
      <c r="D201" s="1">
        <v>37</v>
      </c>
      <c r="AB201" s="829" t="s">
        <v>1702</v>
      </c>
      <c r="AC201" s="781"/>
      <c r="AD201" s="781"/>
      <c r="AE201" s="781"/>
      <c r="AF201" s="781"/>
      <c r="AG201" s="781"/>
      <c r="AH201" s="781"/>
      <c r="AI201" s="781"/>
      <c r="AJ201" s="781"/>
      <c r="AK201" s="781"/>
      <c r="AL201" s="781"/>
      <c r="AM201" s="781"/>
      <c r="AN201" s="781"/>
      <c r="AO201" s="781"/>
      <c r="AP201" s="781"/>
      <c r="AQ201" s="781"/>
      <c r="AR201" s="781"/>
      <c r="AS201" s="781"/>
      <c r="AT201" s="781"/>
    </row>
    <row r="202" spans="4:46" ht="20.25" customHeight="1">
      <c r="D202" s="1">
        <v>32</v>
      </c>
      <c r="AB202" s="1030" t="s">
        <v>1703</v>
      </c>
      <c r="AC202" s="781"/>
      <c r="AD202" s="781"/>
      <c r="AE202" s="781"/>
      <c r="AF202" s="781"/>
      <c r="AG202" s="781"/>
      <c r="AH202" s="781"/>
      <c r="AI202" s="781"/>
      <c r="AJ202" s="363"/>
    </row>
    <row r="203" spans="4:46" ht="23.25" customHeight="1">
      <c r="D203" s="1">
        <v>37</v>
      </c>
      <c r="AB203" s="1030" t="s">
        <v>1414</v>
      </c>
      <c r="AC203" s="781"/>
      <c r="AD203" s="781"/>
      <c r="AE203" s="781"/>
      <c r="AF203" s="781"/>
      <c r="AG203" s="781"/>
      <c r="AH203" s="781"/>
      <c r="AI203" s="781"/>
      <c r="AJ203" s="363"/>
    </row>
    <row r="204" spans="4:46" ht="27.75" customHeight="1">
      <c r="D204" s="1">
        <v>45</v>
      </c>
      <c r="AB204" s="829" t="s">
        <v>1704</v>
      </c>
      <c r="AC204" s="781"/>
      <c r="AD204" s="781"/>
      <c r="AE204" s="781"/>
      <c r="AF204" s="781"/>
      <c r="AG204" s="781"/>
      <c r="AH204" s="781"/>
      <c r="AI204" s="781"/>
      <c r="AJ204" s="781"/>
      <c r="AK204" s="781"/>
      <c r="AL204" s="781"/>
      <c r="AM204" s="781"/>
      <c r="AN204" s="781"/>
      <c r="AO204" s="781"/>
      <c r="AP204" s="781"/>
      <c r="AQ204" s="781"/>
      <c r="AR204" s="781"/>
      <c r="AS204" s="781"/>
      <c r="AT204" s="781"/>
    </row>
    <row r="205" spans="4:46" ht="20.25" customHeight="1">
      <c r="D205" s="1">
        <v>32</v>
      </c>
      <c r="AB205" s="1030" t="s">
        <v>1415</v>
      </c>
      <c r="AC205" s="781"/>
      <c r="AD205" s="781"/>
      <c r="AE205" s="781"/>
      <c r="AF205" s="781"/>
      <c r="AG205" s="781"/>
      <c r="AH205" s="781"/>
      <c r="AI205" s="781"/>
      <c r="AJ205" s="363"/>
    </row>
    <row r="206" spans="4:46" ht="26.25" customHeight="1">
      <c r="D206" s="1">
        <v>42</v>
      </c>
      <c r="AB206" s="832" t="s">
        <v>1416</v>
      </c>
      <c r="AC206" s="781"/>
      <c r="AD206" s="781"/>
      <c r="AE206" s="781"/>
      <c r="AF206" s="781"/>
      <c r="AG206" s="781"/>
      <c r="AH206" s="781"/>
      <c r="AI206" s="781"/>
      <c r="AJ206" s="781"/>
      <c r="AK206" s="781"/>
      <c r="AL206" s="781"/>
      <c r="AM206" s="781"/>
      <c r="AN206" s="781"/>
      <c r="AO206" s="781"/>
      <c r="AP206" s="781"/>
      <c r="AQ206" s="781"/>
      <c r="AR206" s="781"/>
      <c r="AS206" s="781"/>
      <c r="AT206" s="781"/>
    </row>
    <row r="207" spans="4:46" ht="14.25" customHeight="1">
      <c r="D207" s="1">
        <v>23</v>
      </c>
      <c r="AB207" s="832" t="s">
        <v>1705</v>
      </c>
      <c r="AC207" s="781"/>
      <c r="AD207" s="781"/>
      <c r="AE207" s="781"/>
      <c r="AF207" s="781"/>
      <c r="AG207" s="781"/>
      <c r="AH207" s="781"/>
      <c r="AI207" s="781"/>
      <c r="AJ207" s="781"/>
      <c r="AK207" s="781"/>
      <c r="AL207" s="781"/>
      <c r="AM207" s="781"/>
      <c r="AN207" s="781"/>
      <c r="AO207" s="781"/>
      <c r="AP207" s="781"/>
      <c r="AQ207" s="781"/>
      <c r="AR207" s="781"/>
      <c r="AS207" s="781"/>
      <c r="AT207" s="781"/>
    </row>
    <row r="208" spans="4:46" ht="14.25" customHeight="1">
      <c r="D208" s="1">
        <v>23</v>
      </c>
      <c r="AB208" s="832" t="s">
        <v>1706</v>
      </c>
      <c r="AC208" s="781"/>
      <c r="AD208" s="781"/>
      <c r="AE208" s="781"/>
      <c r="AF208" s="781"/>
      <c r="AG208" s="781"/>
      <c r="AH208" s="781"/>
      <c r="AI208" s="781"/>
      <c r="AJ208" s="781"/>
      <c r="AK208" s="781"/>
      <c r="AL208" s="781"/>
      <c r="AM208" s="781"/>
      <c r="AN208" s="781"/>
      <c r="AO208" s="781"/>
      <c r="AP208" s="781"/>
      <c r="AQ208" s="781"/>
      <c r="AR208" s="781"/>
      <c r="AS208" s="781"/>
      <c r="AT208" s="781"/>
    </row>
    <row r="209" spans="4:46" ht="24.75" customHeight="1">
      <c r="D209" s="1">
        <v>40</v>
      </c>
      <c r="AB209" s="1049"/>
      <c r="AC209" s="1050"/>
      <c r="AD209" s="1050"/>
      <c r="AE209" s="1050"/>
      <c r="AF209" s="1050"/>
      <c r="AG209" s="1050"/>
      <c r="AH209" s="1050"/>
      <c r="AI209" s="1050"/>
      <c r="AJ209" s="1050"/>
      <c r="AK209" s="1050"/>
      <c r="AL209" s="1050"/>
      <c r="AM209" s="1050"/>
      <c r="AN209" s="1050"/>
      <c r="AO209" s="1050"/>
      <c r="AP209" s="1050"/>
      <c r="AQ209" s="1050"/>
      <c r="AR209" s="1050"/>
      <c r="AS209" s="1050"/>
      <c r="AT209" s="1051"/>
    </row>
    <row r="210" spans="4:46" ht="24.75" customHeight="1">
      <c r="D210" s="1">
        <v>40</v>
      </c>
      <c r="AB210" s="1049"/>
      <c r="AC210" s="1050"/>
      <c r="AD210" s="1050"/>
      <c r="AE210" s="1050"/>
      <c r="AF210" s="1050"/>
      <c r="AG210" s="1050"/>
      <c r="AH210" s="1050"/>
      <c r="AI210" s="1050"/>
      <c r="AJ210" s="1050"/>
      <c r="AK210" s="1050"/>
      <c r="AL210" s="1050"/>
      <c r="AM210" s="1050"/>
      <c r="AN210" s="1050"/>
      <c r="AO210" s="1050"/>
      <c r="AP210" s="1050"/>
      <c r="AQ210" s="1050"/>
      <c r="AR210" s="1050"/>
      <c r="AS210" s="1050"/>
      <c r="AT210" s="1051"/>
    </row>
    <row r="211" spans="4:46" ht="11.25" hidden="1" customHeight="1">
      <c r="D211" s="1">
        <v>0</v>
      </c>
      <c r="AB211" s="781"/>
      <c r="AC211" s="781"/>
      <c r="AD211" s="781"/>
      <c r="AE211" s="781"/>
      <c r="AF211" s="781"/>
      <c r="AG211" s="781"/>
      <c r="AH211" s="781"/>
      <c r="AI211" s="781"/>
      <c r="AJ211" s="781"/>
      <c r="AK211" s="781"/>
      <c r="AL211" s="781"/>
      <c r="AM211" s="781"/>
      <c r="AN211" s="781"/>
      <c r="AO211" s="781"/>
      <c r="AP211" s="781"/>
      <c r="AQ211" s="781"/>
      <c r="AR211" s="781"/>
      <c r="AS211" s="781"/>
      <c r="AT211" s="781"/>
    </row>
    <row r="212" spans="4:46" ht="11.25" hidden="1" customHeight="1">
      <c r="D212" s="1">
        <v>0</v>
      </c>
    </row>
    <row r="213" spans="4:46" ht="28.5" customHeight="1">
      <c r="D213" s="1">
        <v>45</v>
      </c>
      <c r="AB213" s="1048" t="s">
        <v>1417</v>
      </c>
      <c r="AC213" s="781"/>
      <c r="AD213" s="781"/>
      <c r="AE213" s="781"/>
      <c r="AF213" s="781"/>
      <c r="AG213" s="781"/>
      <c r="AH213" s="781"/>
      <c r="AI213" s="781"/>
      <c r="AJ213" s="781"/>
      <c r="AK213" s="781"/>
      <c r="AL213" s="781"/>
      <c r="AM213" s="781"/>
      <c r="AN213" s="781"/>
      <c r="AO213" s="781"/>
      <c r="AP213" s="781"/>
      <c r="AQ213" s="781"/>
    </row>
    <row r="214" spans="4:46" ht="11.25" customHeight="1">
      <c r="D214" s="1">
        <v>18</v>
      </c>
    </row>
    <row r="215" spans="4:46" ht="48.75" customHeight="1">
      <c r="D215" s="1">
        <v>79</v>
      </c>
      <c r="AB215" s="137" t="s">
        <v>1327</v>
      </c>
      <c r="AC215" s="842" t="s">
        <v>1418</v>
      </c>
      <c r="AD215" s="842"/>
      <c r="AE215" s="842"/>
      <c r="AF215" s="842"/>
      <c r="AG215" s="842"/>
      <c r="AH215" s="842"/>
      <c r="AI215" s="842"/>
      <c r="AJ215" s="842"/>
      <c r="AK215" s="842"/>
      <c r="AL215" s="842"/>
      <c r="AM215" s="842"/>
      <c r="AN215" s="842"/>
      <c r="AO215" s="842"/>
      <c r="AP215" s="1053" t="s">
        <v>1419</v>
      </c>
      <c r="AQ215" s="1054"/>
    </row>
    <row r="216" spans="4:46" ht="11.25" customHeight="1">
      <c r="D216" s="1">
        <v>18</v>
      </c>
      <c r="AB216" s="66">
        <v>1</v>
      </c>
      <c r="AC216" s="796" t="s">
        <v>1707</v>
      </c>
      <c r="AD216" s="796"/>
      <c r="AE216" s="796"/>
      <c r="AF216" s="796"/>
      <c r="AG216" s="796"/>
      <c r="AH216" s="796"/>
      <c r="AI216" s="796"/>
      <c r="AJ216" s="796"/>
      <c r="AK216" s="796"/>
      <c r="AL216" s="796"/>
      <c r="AM216" s="796"/>
      <c r="AN216" s="796"/>
      <c r="AO216" s="796"/>
      <c r="AP216" s="1052"/>
      <c r="AQ216" s="1052"/>
    </row>
    <row r="217" spans="4:46" ht="11.25" customHeight="1">
      <c r="D217" s="1">
        <v>18</v>
      </c>
      <c r="AB217" s="66">
        <v>2</v>
      </c>
      <c r="AC217" s="796" t="s">
        <v>1708</v>
      </c>
      <c r="AD217" s="796"/>
      <c r="AE217" s="796"/>
      <c r="AF217" s="796"/>
      <c r="AG217" s="796"/>
      <c r="AH217" s="796"/>
      <c r="AI217" s="796"/>
      <c r="AJ217" s="796"/>
      <c r="AK217" s="796"/>
      <c r="AL217" s="796"/>
      <c r="AM217" s="796"/>
      <c r="AN217" s="796"/>
      <c r="AO217" s="796"/>
      <c r="AP217" s="1052"/>
      <c r="AQ217" s="1052"/>
    </row>
    <row r="218" spans="4:46" ht="11.25" customHeight="1">
      <c r="D218" s="1">
        <v>18</v>
      </c>
      <c r="AB218" s="47" t="s">
        <v>632</v>
      </c>
      <c r="AC218" s="796" t="s">
        <v>1422</v>
      </c>
      <c r="AD218" s="796"/>
      <c r="AE218" s="796"/>
      <c r="AF218" s="796"/>
      <c r="AG218" s="796"/>
      <c r="AH218" s="796"/>
      <c r="AI218" s="796"/>
      <c r="AJ218" s="796"/>
      <c r="AK218" s="796"/>
      <c r="AL218" s="796"/>
      <c r="AM218" s="796"/>
      <c r="AN218" s="796"/>
      <c r="AO218" s="796"/>
      <c r="AP218" s="1052"/>
      <c r="AQ218" s="1052"/>
    </row>
    <row r="219" spans="4:46" ht="11.25" customHeight="1">
      <c r="D219" s="1">
        <v>18</v>
      </c>
      <c r="AB219" s="47" t="s">
        <v>762</v>
      </c>
      <c r="AC219" s="796" t="s">
        <v>1638</v>
      </c>
      <c r="AD219" s="796"/>
      <c r="AE219" s="796"/>
      <c r="AF219" s="796"/>
      <c r="AG219" s="796"/>
      <c r="AH219" s="796"/>
      <c r="AI219" s="796"/>
      <c r="AJ219" s="796"/>
      <c r="AK219" s="796"/>
      <c r="AL219" s="796"/>
      <c r="AM219" s="796"/>
      <c r="AN219" s="796"/>
      <c r="AO219" s="796"/>
      <c r="AP219" s="1052"/>
      <c r="AQ219" s="1052"/>
    </row>
    <row r="220" spans="4:46" ht="11.25" customHeight="1">
      <c r="D220" s="1">
        <v>18</v>
      </c>
      <c r="AB220" s="47" t="s">
        <v>763</v>
      </c>
      <c r="AC220" s="796" t="s">
        <v>1424</v>
      </c>
      <c r="AD220" s="796"/>
      <c r="AE220" s="796"/>
      <c r="AF220" s="796"/>
      <c r="AG220" s="796"/>
      <c r="AH220" s="796"/>
      <c r="AI220" s="796"/>
      <c r="AJ220" s="796"/>
      <c r="AK220" s="796"/>
      <c r="AL220" s="796"/>
      <c r="AM220" s="796"/>
      <c r="AN220" s="796"/>
      <c r="AO220" s="796"/>
      <c r="AP220" s="1052"/>
      <c r="AQ220" s="1052"/>
    </row>
    <row r="221" spans="4:46" ht="11.25" customHeight="1">
      <c r="D221" s="1">
        <v>18</v>
      </c>
      <c r="AB221" s="47" t="s">
        <v>765</v>
      </c>
      <c r="AC221" s="796" t="s">
        <v>1425</v>
      </c>
      <c r="AD221" s="796"/>
      <c r="AE221" s="796"/>
      <c r="AF221" s="796"/>
      <c r="AG221" s="796"/>
      <c r="AH221" s="796"/>
      <c r="AI221" s="796"/>
      <c r="AJ221" s="796"/>
      <c r="AK221" s="796"/>
      <c r="AL221" s="796"/>
      <c r="AM221" s="796"/>
      <c r="AN221" s="796"/>
      <c r="AO221" s="796"/>
      <c r="AP221" s="1052"/>
      <c r="AQ221" s="1052"/>
    </row>
    <row r="222" spans="4:46" ht="11.25" customHeight="1">
      <c r="D222" s="1">
        <v>18</v>
      </c>
      <c r="AB222" s="66">
        <v>3</v>
      </c>
      <c r="AC222" s="796" t="s">
        <v>1426</v>
      </c>
      <c r="AD222" s="796"/>
      <c r="AE222" s="796"/>
      <c r="AF222" s="796"/>
      <c r="AG222" s="796"/>
      <c r="AH222" s="796"/>
      <c r="AI222" s="796"/>
      <c r="AJ222" s="796"/>
      <c r="AK222" s="796"/>
      <c r="AL222" s="796"/>
      <c r="AM222" s="796"/>
      <c r="AN222" s="796"/>
      <c r="AO222" s="796"/>
      <c r="AP222" s="1052"/>
      <c r="AQ222" s="1052"/>
    </row>
    <row r="223" spans="4:46" ht="11.25" customHeight="1">
      <c r="D223" s="1">
        <v>18</v>
      </c>
      <c r="AB223" s="66">
        <v>4</v>
      </c>
      <c r="AC223" s="796" t="s">
        <v>1427</v>
      </c>
      <c r="AD223" s="796"/>
      <c r="AE223" s="796"/>
      <c r="AF223" s="796"/>
      <c r="AG223" s="796"/>
      <c r="AH223" s="796"/>
      <c r="AI223" s="796"/>
      <c r="AJ223" s="796"/>
      <c r="AK223" s="796"/>
      <c r="AL223" s="796"/>
      <c r="AM223" s="796"/>
      <c r="AN223" s="796"/>
      <c r="AO223" s="796"/>
      <c r="AP223" s="797">
        <v>0</v>
      </c>
      <c r="AQ223" s="796"/>
    </row>
    <row r="224" spans="4:46" ht="11.25" customHeight="1">
      <c r="D224" s="1">
        <v>18</v>
      </c>
      <c r="AB224" s="66">
        <v>5</v>
      </c>
      <c r="AC224" s="796" t="s">
        <v>1428</v>
      </c>
      <c r="AD224" s="796"/>
      <c r="AE224" s="796"/>
      <c r="AF224" s="796"/>
      <c r="AG224" s="796"/>
      <c r="AH224" s="796"/>
      <c r="AI224" s="796"/>
      <c r="AJ224" s="796"/>
      <c r="AK224" s="796"/>
      <c r="AL224" s="796"/>
      <c r="AM224" s="796"/>
      <c r="AN224" s="796"/>
      <c r="AO224" s="796"/>
      <c r="AP224" s="1055">
        <v>0</v>
      </c>
      <c r="AQ224" s="796"/>
    </row>
    <row r="225" spans="4:46" ht="11.25" customHeight="1">
      <c r="D225" s="1">
        <v>18</v>
      </c>
    </row>
    <row r="226" spans="4:46" ht="28.5" customHeight="1">
      <c r="D226" s="1">
        <v>45</v>
      </c>
      <c r="AB226" s="1048" t="s">
        <v>1709</v>
      </c>
      <c r="AC226" s="781"/>
      <c r="AD226" s="781"/>
      <c r="AE226" s="781"/>
      <c r="AF226" s="781"/>
      <c r="AG226" s="781"/>
      <c r="AH226" s="781"/>
      <c r="AI226" s="781"/>
      <c r="AJ226" s="781"/>
      <c r="AK226" s="781"/>
      <c r="AL226" s="781"/>
      <c r="AM226" s="781"/>
      <c r="AN226" s="781"/>
      <c r="AO226" s="781"/>
      <c r="AP226" s="781"/>
      <c r="AQ226" s="781"/>
    </row>
    <row r="227" spans="4:46" ht="14.25" customHeight="1">
      <c r="D227" s="1">
        <v>23</v>
      </c>
      <c r="AB227" s="832" t="s">
        <v>1710</v>
      </c>
      <c r="AC227" s="781"/>
      <c r="AD227" s="781"/>
      <c r="AE227" s="781"/>
      <c r="AF227" s="781"/>
      <c r="AG227" s="781"/>
      <c r="AH227" s="781"/>
      <c r="AI227" s="781"/>
      <c r="AJ227" s="781"/>
      <c r="AK227" s="781"/>
      <c r="AL227" s="781"/>
      <c r="AM227" s="781"/>
      <c r="AN227" s="781"/>
      <c r="AO227" s="781"/>
      <c r="AP227" s="781"/>
      <c r="AQ227" s="781"/>
      <c r="AR227" s="781"/>
      <c r="AS227" s="781"/>
      <c r="AT227" s="781"/>
    </row>
    <row r="228" spans="4:46" ht="17.25" customHeight="1">
      <c r="D228" s="1">
        <v>28</v>
      </c>
      <c r="AB228" s="832" t="s">
        <v>1429</v>
      </c>
      <c r="AC228" s="781"/>
      <c r="AD228" s="781"/>
      <c r="AE228" s="781"/>
      <c r="AF228" s="781"/>
      <c r="AG228" s="781"/>
      <c r="AH228" s="781"/>
      <c r="AI228" s="781"/>
      <c r="AJ228" s="781"/>
      <c r="AK228" s="781"/>
      <c r="AL228" s="781"/>
      <c r="AM228" s="781"/>
      <c r="AN228" s="781"/>
      <c r="AO228" s="781"/>
      <c r="AP228" s="781"/>
      <c r="AQ228" s="781"/>
      <c r="AR228" s="781"/>
      <c r="AS228" s="781"/>
      <c r="AT228" s="781"/>
    </row>
    <row r="229" spans="4:46" ht="17.25" customHeight="1">
      <c r="D229" s="1">
        <v>28</v>
      </c>
      <c r="AB229" s="832" t="s">
        <v>1711</v>
      </c>
      <c r="AC229" s="781"/>
      <c r="AD229" s="781"/>
      <c r="AE229" s="781"/>
      <c r="AF229" s="781"/>
      <c r="AG229" s="781"/>
      <c r="AH229" s="781"/>
      <c r="AI229" s="781"/>
      <c r="AJ229" s="781"/>
      <c r="AK229" s="781"/>
      <c r="AL229" s="781"/>
      <c r="AM229" s="781"/>
      <c r="AN229" s="781"/>
      <c r="AO229" s="781"/>
      <c r="AP229" s="781"/>
      <c r="AQ229" s="781"/>
      <c r="AR229" s="781"/>
      <c r="AS229" s="781"/>
      <c r="AT229" s="781"/>
    </row>
    <row r="230" spans="4:46" ht="17.25" customHeight="1">
      <c r="D230" s="1">
        <v>28</v>
      </c>
      <c r="AB230" s="832" t="s">
        <v>1430</v>
      </c>
      <c r="AC230" s="781"/>
      <c r="AD230" s="781"/>
      <c r="AE230" s="781"/>
      <c r="AF230" s="781"/>
      <c r="AG230" s="781"/>
      <c r="AH230" s="781"/>
      <c r="AI230" s="1056"/>
      <c r="AJ230" s="1057"/>
      <c r="AK230" s="1058"/>
    </row>
    <row r="231" spans="4:46" ht="17.25" customHeight="1">
      <c r="D231" s="1">
        <v>28</v>
      </c>
      <c r="AB231" s="832" t="s">
        <v>1431</v>
      </c>
      <c r="AC231" s="781"/>
      <c r="AD231" s="781"/>
      <c r="AE231" s="781"/>
      <c r="AF231" s="781"/>
      <c r="AG231" s="781"/>
      <c r="AH231" s="781"/>
      <c r="AI231" s="1056"/>
      <c r="AJ231" s="1057"/>
      <c r="AK231" s="1058"/>
    </row>
    <row r="232" spans="4:46" ht="17.25" customHeight="1">
      <c r="D232" s="1">
        <v>28</v>
      </c>
      <c r="AB232" s="832" t="s">
        <v>1422</v>
      </c>
      <c r="AC232" s="781"/>
      <c r="AD232" s="781"/>
      <c r="AE232" s="781"/>
      <c r="AF232" s="781"/>
      <c r="AG232" s="781"/>
      <c r="AH232" s="781"/>
      <c r="AI232" s="1056"/>
      <c r="AJ232" s="1057"/>
      <c r="AK232" s="1058"/>
    </row>
    <row r="233" spans="4:46" ht="17.25" customHeight="1">
      <c r="D233" s="1">
        <v>28</v>
      </c>
      <c r="AB233" s="832" t="s">
        <v>1638</v>
      </c>
      <c r="AC233" s="781"/>
      <c r="AD233" s="781"/>
      <c r="AE233" s="781"/>
      <c r="AF233" s="781"/>
      <c r="AG233" s="781"/>
      <c r="AH233" s="781"/>
      <c r="AI233" s="1056"/>
      <c r="AJ233" s="1057"/>
      <c r="AK233" s="1058"/>
    </row>
    <row r="234" spans="4:46" ht="17.25" customHeight="1">
      <c r="D234" s="1">
        <v>28</v>
      </c>
      <c r="AB234" s="832" t="s">
        <v>1424</v>
      </c>
      <c r="AC234" s="781"/>
      <c r="AD234" s="781"/>
      <c r="AE234" s="781"/>
      <c r="AF234" s="781"/>
      <c r="AG234" s="781"/>
      <c r="AH234" s="781"/>
      <c r="AI234" s="1056"/>
      <c r="AJ234" s="1057"/>
      <c r="AK234" s="1058"/>
    </row>
    <row r="235" spans="4:46" ht="17.25" customHeight="1">
      <c r="D235" s="1">
        <v>28</v>
      </c>
      <c r="AB235" s="832" t="s">
        <v>1425</v>
      </c>
      <c r="AC235" s="781"/>
      <c r="AD235" s="781"/>
      <c r="AE235" s="781"/>
      <c r="AF235" s="781"/>
      <c r="AG235" s="781"/>
      <c r="AH235" s="781"/>
      <c r="AI235" s="1056"/>
      <c r="AJ235" s="1057"/>
      <c r="AK235" s="1058"/>
    </row>
    <row r="236" spans="4:46" ht="17.25" customHeight="1">
      <c r="D236" s="1">
        <v>28</v>
      </c>
      <c r="AB236" s="832" t="s">
        <v>1712</v>
      </c>
      <c r="AC236" s="781"/>
      <c r="AD236" s="781"/>
      <c r="AE236" s="781"/>
      <c r="AF236" s="781"/>
      <c r="AG236" s="781"/>
      <c r="AH236" s="781"/>
      <c r="AI236" s="781"/>
      <c r="AJ236" s="781"/>
    </row>
    <row r="237" spans="4:46" ht="17.25" customHeight="1">
      <c r="D237" s="1">
        <v>28</v>
      </c>
      <c r="AB237" s="832" t="s">
        <v>1713</v>
      </c>
      <c r="AC237" s="781"/>
      <c r="AD237" s="781"/>
      <c r="AE237" s="781"/>
      <c r="AF237" s="781"/>
      <c r="AG237" s="781"/>
      <c r="AH237" s="781"/>
      <c r="AI237" s="781"/>
      <c r="AJ237" s="781"/>
      <c r="AK237" s="781"/>
    </row>
    <row r="238" spans="4:46" ht="17.25" customHeight="1">
      <c r="D238" s="1">
        <v>28</v>
      </c>
      <c r="AB238" s="832" t="s">
        <v>1714</v>
      </c>
      <c r="AC238" s="781"/>
      <c r="AD238" s="781"/>
      <c r="AE238" s="781"/>
      <c r="AF238" s="781"/>
      <c r="AG238" s="781"/>
      <c r="AH238" s="781"/>
      <c r="AI238" s="781"/>
      <c r="AJ238" s="1065"/>
      <c r="AK238" s="1066"/>
      <c r="AL238" s="1066"/>
      <c r="AM238" s="1066"/>
      <c r="AN238" s="1066"/>
      <c r="AO238" s="1066"/>
      <c r="AP238" s="1066"/>
      <c r="AQ238" s="1066"/>
      <c r="AR238" s="1067"/>
    </row>
    <row r="239" spans="4:46" ht="19.5" customHeight="1">
      <c r="D239" s="1">
        <v>32</v>
      </c>
      <c r="AB239" s="832" t="s">
        <v>1715</v>
      </c>
      <c r="AC239" s="781"/>
      <c r="AD239" s="781"/>
      <c r="AE239" s="781"/>
      <c r="AF239" s="781"/>
      <c r="AG239" s="781"/>
      <c r="AH239" s="781"/>
      <c r="AI239" s="781"/>
      <c r="AJ239" s="781"/>
      <c r="AK239" s="781"/>
      <c r="AL239" s="781"/>
      <c r="AM239" s="781"/>
      <c r="AN239" s="781"/>
      <c r="AO239" s="781"/>
      <c r="AP239" s="781"/>
      <c r="AQ239" s="781"/>
    </row>
    <row r="240" spans="4:46" ht="17.25" customHeight="1">
      <c r="D240" s="1">
        <v>28</v>
      </c>
      <c r="AB240" s="781"/>
      <c r="AC240" s="781"/>
      <c r="AD240" s="781"/>
      <c r="AE240" s="781"/>
      <c r="AF240" s="781"/>
      <c r="AG240" s="781"/>
      <c r="AH240" s="781"/>
      <c r="AI240" s="781"/>
      <c r="AJ240" s="781"/>
      <c r="AK240" s="781"/>
    </row>
    <row r="241" spans="4:46" ht="26.25" customHeight="1">
      <c r="D241" s="1">
        <v>42</v>
      </c>
      <c r="AB241" s="366" t="s">
        <v>509</v>
      </c>
      <c r="AC241" s="1059" t="s">
        <v>608</v>
      </c>
      <c r="AD241" s="1060"/>
      <c r="AE241" s="367" t="s">
        <v>175</v>
      </c>
      <c r="AF241" s="143" t="s">
        <v>900</v>
      </c>
      <c r="AG241" s="143" t="s">
        <v>901</v>
      </c>
      <c r="AH241" s="143" t="s">
        <v>194</v>
      </c>
      <c r="AI241" s="143" t="s">
        <v>899</v>
      </c>
    </row>
    <row r="242" spans="4:46" ht="17.25" customHeight="1">
      <c r="D242" s="1">
        <v>28</v>
      </c>
      <c r="AB242" s="144" t="s">
        <v>532</v>
      </c>
      <c r="AC242" s="1061" t="s">
        <v>911</v>
      </c>
      <c r="AD242" s="1062"/>
      <c r="AE242" s="1063"/>
      <c r="AF242" s="1064"/>
      <c r="AG242" s="145"/>
      <c r="AH242" s="146"/>
      <c r="AI242" s="146"/>
    </row>
    <row r="243" spans="4:46" ht="30.75" customHeight="1">
      <c r="D243" s="1">
        <v>50</v>
      </c>
      <c r="AB243" s="355" t="s">
        <v>637</v>
      </c>
      <c r="AC243" s="798" t="s">
        <v>1716</v>
      </c>
      <c r="AD243" s="798"/>
      <c r="AE243" s="161">
        <v>0</v>
      </c>
      <c r="AF243" s="161">
        <v>0</v>
      </c>
      <c r="AG243" s="161">
        <v>0</v>
      </c>
      <c r="AH243" s="161">
        <v>0</v>
      </c>
      <c r="AI243" s="161">
        <v>0</v>
      </c>
    </row>
    <row r="244" spans="4:46" ht="28.5" customHeight="1">
      <c r="D244" s="1">
        <v>45</v>
      </c>
      <c r="AB244" s="355" t="s">
        <v>642</v>
      </c>
      <c r="AC244" s="798" t="s">
        <v>1717</v>
      </c>
      <c r="AD244" s="798"/>
      <c r="AE244" s="161">
        <v>0</v>
      </c>
      <c r="AF244" s="161">
        <v>0</v>
      </c>
      <c r="AG244" s="161">
        <v>0</v>
      </c>
      <c r="AH244" s="161">
        <v>0</v>
      </c>
      <c r="AI244" s="161">
        <v>0</v>
      </c>
    </row>
    <row r="245" spans="4:46" ht="28.5" customHeight="1">
      <c r="D245" s="1">
        <v>45</v>
      </c>
      <c r="AB245" s="355" t="s">
        <v>647</v>
      </c>
      <c r="AC245" s="798" t="s">
        <v>1718</v>
      </c>
      <c r="AD245" s="798"/>
      <c r="AE245" s="161">
        <v>0</v>
      </c>
      <c r="AF245" s="161">
        <v>0</v>
      </c>
      <c r="AG245" s="161">
        <v>0</v>
      </c>
      <c r="AH245" s="161">
        <v>0</v>
      </c>
      <c r="AI245" s="161">
        <v>0</v>
      </c>
    </row>
    <row r="246" spans="4:46" ht="28.5" customHeight="1">
      <c r="D246" s="1">
        <v>45</v>
      </c>
      <c r="AB246" s="355" t="s">
        <v>652</v>
      </c>
      <c r="AC246" s="798" t="s">
        <v>1719</v>
      </c>
      <c r="AD246" s="798"/>
      <c r="AE246" s="161">
        <v>0</v>
      </c>
      <c r="AF246" s="161">
        <v>0</v>
      </c>
      <c r="AG246" s="161">
        <v>0</v>
      </c>
      <c r="AH246" s="161">
        <v>0</v>
      </c>
      <c r="AI246" s="161">
        <v>0</v>
      </c>
    </row>
    <row r="247" spans="4:46" ht="28.5" customHeight="1">
      <c r="D247" s="1">
        <v>45</v>
      </c>
      <c r="AB247" s="355" t="s">
        <v>912</v>
      </c>
      <c r="AC247" s="798" t="s">
        <v>1720</v>
      </c>
      <c r="AD247" s="798"/>
      <c r="AE247" s="161">
        <v>0</v>
      </c>
      <c r="AF247" s="161">
        <v>0</v>
      </c>
      <c r="AG247" s="161">
        <v>0</v>
      </c>
      <c r="AH247" s="161">
        <v>0</v>
      </c>
      <c r="AI247" s="161">
        <v>0</v>
      </c>
    </row>
    <row r="248" spans="4:46" ht="28.5" customHeight="1">
      <c r="D248" s="1">
        <v>45</v>
      </c>
      <c r="AB248" s="355" t="s">
        <v>913</v>
      </c>
      <c r="AC248" s="798" t="s">
        <v>1721</v>
      </c>
      <c r="AD248" s="798"/>
      <c r="AE248" s="161">
        <v>0</v>
      </c>
      <c r="AF248" s="161">
        <v>0</v>
      </c>
      <c r="AG248" s="161">
        <v>0</v>
      </c>
      <c r="AH248" s="161">
        <v>0</v>
      </c>
      <c r="AI248" s="161">
        <v>0</v>
      </c>
    </row>
    <row r="249" spans="4:46" ht="28.5" customHeight="1">
      <c r="D249" s="1">
        <v>45</v>
      </c>
      <c r="AB249" s="355" t="s">
        <v>914</v>
      </c>
      <c r="AC249" s="835" t="s">
        <v>1722</v>
      </c>
      <c r="AD249" s="835"/>
      <c r="AE249" s="161">
        <v>0</v>
      </c>
      <c r="AF249" s="161">
        <v>0</v>
      </c>
      <c r="AG249" s="161">
        <v>0</v>
      </c>
      <c r="AH249" s="161">
        <v>0</v>
      </c>
      <c r="AI249" s="161">
        <v>0</v>
      </c>
    </row>
    <row r="250" spans="4:46" ht="19.5" customHeight="1">
      <c r="D250" s="1">
        <v>32</v>
      </c>
      <c r="AB250" s="781"/>
      <c r="AC250" s="781"/>
      <c r="AD250" s="781"/>
      <c r="AE250" s="781"/>
      <c r="AF250" s="781"/>
      <c r="AG250" s="781"/>
      <c r="AH250" s="781"/>
      <c r="AI250" s="781"/>
      <c r="AJ250" s="781"/>
      <c r="AK250" s="781"/>
      <c r="AL250" s="781"/>
      <c r="AM250" s="781"/>
      <c r="AN250" s="781"/>
      <c r="AO250" s="781"/>
      <c r="AP250" s="781"/>
      <c r="AQ250" s="781"/>
    </row>
    <row r="251" spans="4:46" ht="19.5" hidden="1" customHeight="1">
      <c r="D251" s="1">
        <v>0</v>
      </c>
      <c r="AB251" s="781"/>
      <c r="AC251" s="781"/>
      <c r="AD251" s="781"/>
      <c r="AE251" s="781"/>
      <c r="AF251" s="781"/>
      <c r="AG251" s="781"/>
      <c r="AH251" s="781"/>
      <c r="AI251" s="781"/>
      <c r="AJ251" s="781"/>
      <c r="AK251" s="781"/>
      <c r="AL251" s="781"/>
      <c r="AM251" s="781"/>
      <c r="AN251" s="781"/>
      <c r="AO251" s="781"/>
      <c r="AP251" s="781"/>
      <c r="AQ251" s="781"/>
    </row>
    <row r="252" spans="4:46" ht="19.5" customHeight="1">
      <c r="D252" s="1">
        <v>32</v>
      </c>
      <c r="AB252" s="832" t="s">
        <v>1434</v>
      </c>
      <c r="AC252" s="781"/>
      <c r="AD252" s="781"/>
      <c r="AE252" s="781"/>
      <c r="AF252" s="781"/>
      <c r="AG252" s="781"/>
      <c r="AH252" s="781"/>
      <c r="AI252" s="781"/>
      <c r="AJ252" s="781"/>
      <c r="AK252" s="781"/>
      <c r="AL252" s="781"/>
      <c r="AM252" s="781"/>
      <c r="AN252" s="781"/>
      <c r="AO252" s="781"/>
      <c r="AP252" s="781"/>
      <c r="AQ252" s="781"/>
    </row>
    <row r="253" spans="4:46" ht="34.5" customHeight="1">
      <c r="D253" s="1">
        <v>55</v>
      </c>
      <c r="AB253" s="1068"/>
      <c r="AC253" s="1069"/>
      <c r="AD253" s="1069"/>
      <c r="AE253" s="1069"/>
      <c r="AF253" s="1069"/>
      <c r="AG253" s="1069"/>
      <c r="AH253" s="1069"/>
      <c r="AI253" s="1069"/>
      <c r="AJ253" s="1069"/>
      <c r="AK253" s="1069"/>
      <c r="AL253" s="1069"/>
      <c r="AM253" s="1069"/>
      <c r="AN253" s="1069"/>
      <c r="AO253" s="1069"/>
      <c r="AP253" s="1069"/>
      <c r="AQ253" s="1069"/>
      <c r="AR253" s="1069"/>
      <c r="AS253" s="1069"/>
      <c r="AT253" s="1070"/>
    </row>
    <row r="254" spans="4:46" ht="27" customHeight="1">
      <c r="D254" s="1">
        <v>44</v>
      </c>
      <c r="AB254" s="1071" t="s">
        <v>1723</v>
      </c>
      <c r="AC254" s="1071"/>
      <c r="AD254" s="1071"/>
      <c r="AE254" s="1071"/>
      <c r="AF254" s="1071"/>
      <c r="AG254" s="1071"/>
      <c r="AH254" s="1071"/>
      <c r="AI254" s="1071"/>
      <c r="AJ254" s="1071"/>
      <c r="AK254" s="1071"/>
      <c r="AL254" s="1071"/>
      <c r="AM254" s="1071"/>
      <c r="AN254" s="1071"/>
      <c r="AO254" s="1071"/>
      <c r="AP254" s="1071"/>
      <c r="AQ254" s="1071"/>
      <c r="AR254" s="1071"/>
      <c r="AS254" s="1071"/>
      <c r="AT254" s="1071"/>
    </row>
    <row r="255" spans="4:46" ht="29.25" customHeight="1">
      <c r="D255" s="1">
        <v>47</v>
      </c>
      <c r="AB255" s="832" t="s">
        <v>1724</v>
      </c>
      <c r="AC255" s="781"/>
      <c r="AD255" s="781"/>
      <c r="AE255" s="781"/>
      <c r="AF255" s="781"/>
      <c r="AG255" s="781"/>
      <c r="AH255" s="781"/>
      <c r="AI255" s="781"/>
      <c r="AJ255" s="781"/>
      <c r="AK255" s="781"/>
      <c r="AL255" s="781"/>
      <c r="AM255" s="781"/>
      <c r="AN255" s="781"/>
      <c r="AO255" s="781"/>
      <c r="AP255" s="781"/>
      <c r="AQ255" s="781"/>
      <c r="AR255" s="781"/>
      <c r="AS255" s="781"/>
      <c r="AT255" s="781"/>
    </row>
    <row r="256" spans="4:46" ht="29.25" customHeight="1">
      <c r="D256" s="1">
        <v>47</v>
      </c>
      <c r="AB256" s="832" t="s">
        <v>1725</v>
      </c>
      <c r="AC256" s="781"/>
      <c r="AD256" s="781"/>
      <c r="AE256" s="781"/>
      <c r="AF256" s="781"/>
      <c r="AG256" s="781"/>
      <c r="AH256" s="781"/>
      <c r="AI256" s="781"/>
      <c r="AJ256" s="781"/>
      <c r="AK256" s="781"/>
      <c r="AL256" s="781"/>
      <c r="AM256" s="781"/>
      <c r="AN256" s="781"/>
      <c r="AO256" s="781"/>
      <c r="AP256" s="781"/>
      <c r="AQ256" s="781"/>
    </row>
    <row r="257" spans="4:43" ht="20.25" customHeight="1">
      <c r="D257" s="1">
        <v>32</v>
      </c>
      <c r="AB257" s="1072"/>
      <c r="AC257" s="1073"/>
      <c r="AD257" s="1074"/>
      <c r="AE257" s="825" t="s">
        <v>1435</v>
      </c>
      <c r="AF257" s="66">
        <v>2019</v>
      </c>
      <c r="AG257" s="66">
        <v>2019</v>
      </c>
      <c r="AH257" s="66">
        <v>2020</v>
      </c>
      <c r="AI257" s="66">
        <v>2020</v>
      </c>
      <c r="AJ257" s="66">
        <v>2021</v>
      </c>
      <c r="AK257" s="66" t="s">
        <v>1726</v>
      </c>
      <c r="AL257" s="66" t="s">
        <v>1726</v>
      </c>
    </row>
    <row r="258" spans="4:43" ht="26.25" customHeight="1">
      <c r="D258" s="1">
        <v>42</v>
      </c>
      <c r="AB258" s="1075"/>
      <c r="AC258" s="1076"/>
      <c r="AD258" s="1077"/>
      <c r="AE258" s="847"/>
      <c r="AF258" s="66" t="s">
        <v>1639</v>
      </c>
      <c r="AG258" s="66" t="s">
        <v>753</v>
      </c>
      <c r="AH258" s="66" t="s">
        <v>1639</v>
      </c>
      <c r="AI258" s="66" t="s">
        <v>753</v>
      </c>
      <c r="AJ258" s="66" t="s">
        <v>1437</v>
      </c>
      <c r="AK258" s="66" t="s">
        <v>752</v>
      </c>
      <c r="AL258" s="66" t="s">
        <v>1437</v>
      </c>
    </row>
    <row r="259" spans="4:43" ht="29.25" customHeight="1">
      <c r="D259" s="1">
        <v>47</v>
      </c>
      <c r="AB259" s="47" t="s">
        <v>528</v>
      </c>
      <c r="AC259" s="796" t="s">
        <v>1030</v>
      </c>
      <c r="AD259" s="796"/>
      <c r="AE259" s="66" t="s">
        <v>916</v>
      </c>
      <c r="AF259" s="369"/>
      <c r="AG259" s="369"/>
      <c r="AH259" s="161">
        <v>0</v>
      </c>
      <c r="AI259" s="161">
        <v>0</v>
      </c>
      <c r="AJ259" s="161">
        <v>0</v>
      </c>
      <c r="AK259" s="161">
        <v>0</v>
      </c>
      <c r="AL259" s="161">
        <v>0</v>
      </c>
    </row>
    <row r="260" spans="4:43" ht="28.5" customHeight="1">
      <c r="D260" s="1">
        <v>45</v>
      </c>
      <c r="AB260" s="47" t="s">
        <v>530</v>
      </c>
      <c r="AC260" s="796" t="s">
        <v>933</v>
      </c>
      <c r="AD260" s="796"/>
      <c r="AE260" s="66" t="s">
        <v>916</v>
      </c>
      <c r="AF260" s="369"/>
      <c r="AG260" s="369"/>
      <c r="AH260" s="161">
        <v>0</v>
      </c>
      <c r="AI260" s="161">
        <v>0</v>
      </c>
      <c r="AJ260" s="161">
        <v>0</v>
      </c>
      <c r="AK260" s="161">
        <v>0</v>
      </c>
      <c r="AL260" s="161">
        <v>0</v>
      </c>
    </row>
    <row r="261" spans="4:43" ht="21.75" customHeight="1">
      <c r="D261" s="1">
        <v>36</v>
      </c>
      <c r="AB261" s="47"/>
      <c r="AC261" s="796" t="s">
        <v>934</v>
      </c>
      <c r="AD261" s="796"/>
      <c r="AE261" s="66" t="s">
        <v>633</v>
      </c>
      <c r="AF261" s="369"/>
      <c r="AG261" s="369"/>
      <c r="AH261" s="161">
        <v>0</v>
      </c>
      <c r="AI261" s="161">
        <v>0</v>
      </c>
      <c r="AJ261" s="161">
        <v>0</v>
      </c>
      <c r="AK261" s="161">
        <v>0</v>
      </c>
      <c r="AL261" s="161">
        <v>0</v>
      </c>
    </row>
    <row r="262" spans="4:43" ht="26.25" customHeight="1">
      <c r="D262" s="1">
        <v>42</v>
      </c>
      <c r="AB262" s="47" t="s">
        <v>534</v>
      </c>
      <c r="AC262" s="796" t="s">
        <v>937</v>
      </c>
      <c r="AD262" s="796"/>
      <c r="AE262" s="66" t="s">
        <v>916</v>
      </c>
      <c r="AF262" s="369"/>
      <c r="AG262" s="369"/>
      <c r="AH262" s="161">
        <v>0</v>
      </c>
      <c r="AI262" s="161">
        <v>0</v>
      </c>
      <c r="AJ262" s="161">
        <v>0</v>
      </c>
      <c r="AK262" s="161">
        <v>0</v>
      </c>
      <c r="AL262" s="161">
        <v>0</v>
      </c>
    </row>
    <row r="263" spans="4:43" ht="28.5" customHeight="1">
      <c r="D263" s="1">
        <v>45</v>
      </c>
    </row>
    <row r="264" spans="4:43" ht="15" hidden="1" customHeight="1">
      <c r="D264" s="1">
        <v>0</v>
      </c>
      <c r="AB264" s="781"/>
      <c r="AC264" s="781"/>
      <c r="AD264" s="781"/>
      <c r="AE264" s="781"/>
      <c r="AF264" s="781"/>
      <c r="AG264" s="781"/>
      <c r="AH264" s="781"/>
      <c r="AI264" s="781"/>
      <c r="AJ264" s="781"/>
      <c r="AK264" s="781"/>
      <c r="AL264" s="781"/>
      <c r="AM264" s="781"/>
      <c r="AN264" s="781"/>
      <c r="AO264" s="781"/>
      <c r="AP264" s="781"/>
      <c r="AQ264" s="781"/>
    </row>
    <row r="265" spans="4:43" ht="31.5" customHeight="1">
      <c r="D265" s="1">
        <v>52</v>
      </c>
      <c r="AB265" s="832" t="s">
        <v>1727</v>
      </c>
      <c r="AC265" s="781"/>
      <c r="AD265" s="781"/>
      <c r="AE265" s="781"/>
      <c r="AF265" s="781"/>
      <c r="AG265" s="781"/>
      <c r="AH265" s="781"/>
      <c r="AI265" s="781"/>
      <c r="AJ265" s="781"/>
      <c r="AK265" s="781"/>
      <c r="AL265" s="781"/>
      <c r="AM265" s="781"/>
      <c r="AN265" s="781"/>
      <c r="AO265" s="781"/>
      <c r="AP265" s="781"/>
      <c r="AQ265" s="781"/>
    </row>
    <row r="266" spans="4:43" ht="11.25" hidden="1" customHeight="1">
      <c r="D266" s="1">
        <v>0</v>
      </c>
      <c r="AB266" s="105">
        <v>0</v>
      </c>
    </row>
    <row r="267" spans="4:43" ht="22.5" customHeight="1">
      <c r="D267" s="1">
        <v>36</v>
      </c>
      <c r="AB267" s="781" t="s">
        <v>507</v>
      </c>
      <c r="AC267" s="781"/>
      <c r="AD267" s="781"/>
      <c r="AE267" s="781"/>
      <c r="AF267" s="781"/>
      <c r="AG267" s="781"/>
      <c r="AH267" s="781"/>
      <c r="AI267" s="781"/>
      <c r="AJ267" s="781"/>
      <c r="AK267" s="781"/>
      <c r="AL267" s="781"/>
      <c r="AM267" s="781"/>
      <c r="AN267" s="781"/>
      <c r="AO267" s="781"/>
      <c r="AP267" s="781"/>
      <c r="AQ267" s="781"/>
    </row>
    <row r="268" spans="4:43" ht="28.5" customHeight="1">
      <c r="D268" s="1">
        <v>45</v>
      </c>
    </row>
    <row r="269" spans="4:43" ht="25.5" customHeight="1">
      <c r="D269" s="1">
        <v>42</v>
      </c>
      <c r="AB269" s="1078" t="s">
        <v>1728</v>
      </c>
      <c r="AC269" s="781"/>
      <c r="AD269" s="781"/>
      <c r="AE269" s="781"/>
      <c r="AF269" s="781"/>
      <c r="AG269" s="781"/>
      <c r="AH269" s="781"/>
      <c r="AI269" s="781"/>
      <c r="AJ269" s="781"/>
      <c r="AK269" s="781"/>
      <c r="AL269" s="781"/>
      <c r="AM269" s="781"/>
      <c r="AN269" s="781"/>
      <c r="AO269" s="781"/>
      <c r="AP269" s="781"/>
      <c r="AQ269" s="781"/>
    </row>
    <row r="270" spans="4:43" ht="11.25" customHeight="1">
      <c r="D270" s="1">
        <v>18</v>
      </c>
    </row>
    <row r="271" spans="4:43" ht="22.5" customHeight="1">
      <c r="D271" s="1">
        <v>36</v>
      </c>
      <c r="AB271" s="832" t="s">
        <v>1729</v>
      </c>
      <c r="AC271" s="781"/>
      <c r="AD271" s="781"/>
      <c r="AE271" s="781"/>
      <c r="AF271" s="781"/>
      <c r="AG271" s="781"/>
      <c r="AH271" s="781"/>
      <c r="AI271" s="781"/>
      <c r="AJ271" s="781"/>
      <c r="AK271" s="781"/>
      <c r="AL271" s="781"/>
      <c r="AM271" s="781"/>
      <c r="AN271" s="781"/>
      <c r="AO271" s="781"/>
      <c r="AP271" s="781"/>
      <c r="AQ271" s="781"/>
    </row>
    <row r="272" spans="4:43" ht="14.25" customHeight="1">
      <c r="D272" s="1">
        <v>23</v>
      </c>
    </row>
    <row r="273" spans="4:43" ht="14.25" customHeight="1">
      <c r="D273" s="1">
        <v>23</v>
      </c>
      <c r="AB273" s="1078" t="s">
        <v>1441</v>
      </c>
      <c r="AC273" s="781"/>
      <c r="AD273" s="781"/>
      <c r="AE273" s="781"/>
      <c r="AF273" s="781"/>
      <c r="AG273" s="781"/>
      <c r="AH273" s="781"/>
      <c r="AI273" s="781"/>
      <c r="AJ273" s="781"/>
      <c r="AK273" s="781"/>
      <c r="AL273" s="781"/>
      <c r="AM273" s="781"/>
      <c r="AN273" s="781"/>
      <c r="AO273" s="781"/>
      <c r="AP273" s="781"/>
      <c r="AQ273" s="781"/>
    </row>
    <row r="274" spans="4:43" ht="14.25" customHeight="1">
      <c r="D274" s="1">
        <v>23</v>
      </c>
    </row>
    <row r="275" spans="4:43" ht="60" customHeight="1">
      <c r="D275" s="1">
        <v>96</v>
      </c>
      <c r="AB275" s="832" t="s">
        <v>1442</v>
      </c>
      <c r="AC275" s="781"/>
      <c r="AD275" s="781"/>
      <c r="AE275" s="781"/>
      <c r="AF275" s="781"/>
      <c r="AG275" s="781"/>
      <c r="AH275" s="781"/>
      <c r="AI275" s="781"/>
      <c r="AJ275" s="781"/>
      <c r="AK275" s="781"/>
      <c r="AL275" s="781"/>
      <c r="AM275" s="781"/>
      <c r="AN275" s="781"/>
      <c r="AO275" s="781"/>
      <c r="AP275" s="781"/>
      <c r="AQ275" s="781"/>
    </row>
    <row r="276" spans="4:43" ht="20.25" customHeight="1">
      <c r="D276" s="1">
        <v>32</v>
      </c>
      <c r="AB276" s="1079" t="s">
        <v>1443</v>
      </c>
      <c r="AC276" s="781"/>
      <c r="AD276" s="781"/>
      <c r="AE276" s="781"/>
      <c r="AF276" s="781"/>
      <c r="AG276" s="781"/>
      <c r="AH276" s="781"/>
      <c r="AI276" s="781"/>
      <c r="AJ276" s="781"/>
      <c r="AK276" s="781"/>
      <c r="AL276" s="781"/>
      <c r="AM276" s="781"/>
      <c r="AN276" s="781"/>
      <c r="AO276" s="781"/>
      <c r="AP276" s="781"/>
      <c r="AQ276" s="781"/>
    </row>
    <row r="277" spans="4:43" ht="17.25" customHeight="1" outlineLevel="1">
      <c r="D277" s="1">
        <v>28</v>
      </c>
      <c r="AA277" s="781"/>
      <c r="AB277" s="1080" t="s">
        <v>1730</v>
      </c>
      <c r="AC277" s="781"/>
      <c r="AD277" s="781"/>
      <c r="AE277" s="781"/>
      <c r="AF277" s="781"/>
      <c r="AG277" s="781"/>
      <c r="AH277" s="781"/>
      <c r="AI277" s="781"/>
      <c r="AJ277" s="781"/>
      <c r="AK277" s="781"/>
      <c r="AL277" s="781"/>
      <c r="AM277" s="781"/>
      <c r="AN277" s="781"/>
      <c r="AO277" s="781"/>
      <c r="AP277" s="781"/>
      <c r="AQ277" s="781"/>
    </row>
    <row r="278" spans="4:43" ht="38.25" customHeight="1" outlineLevel="1">
      <c r="D278" s="1">
        <v>61</v>
      </c>
      <c r="AA278" s="781"/>
      <c r="AB278" s="832" t="s">
        <v>1731</v>
      </c>
      <c r="AC278" s="781"/>
      <c r="AD278" s="781"/>
      <c r="AE278" s="781"/>
      <c r="AF278" s="781"/>
      <c r="AG278" s="781"/>
      <c r="AH278" s="781"/>
      <c r="AI278" s="781"/>
      <c r="AJ278" s="781"/>
      <c r="AK278" s="781"/>
      <c r="AL278" s="781"/>
      <c r="AM278" s="781"/>
      <c r="AN278" s="781"/>
      <c r="AO278" s="781"/>
      <c r="AP278" s="781"/>
      <c r="AQ278" s="781"/>
    </row>
    <row r="279" spans="4:43" ht="27" customHeight="1" outlineLevel="1">
      <c r="D279" s="1">
        <v>44</v>
      </c>
      <c r="AB279" s="832" t="s">
        <v>1732</v>
      </c>
      <c r="AC279" s="781"/>
      <c r="AD279" s="781"/>
      <c r="AE279" s="781"/>
      <c r="AF279" s="781"/>
      <c r="AG279" s="781"/>
      <c r="AH279" s="781"/>
      <c r="AI279" s="781"/>
      <c r="AJ279" s="781"/>
      <c r="AK279" s="781"/>
      <c r="AL279" s="781"/>
      <c r="AM279" s="781"/>
      <c r="AN279" s="781"/>
      <c r="AO279" s="781"/>
      <c r="AP279" s="781"/>
      <c r="AQ279" s="781"/>
    </row>
    <row r="280" spans="4:43" ht="36" customHeight="1" outlineLevel="1">
      <c r="D280" s="1">
        <v>58</v>
      </c>
      <c r="AB280" s="832" t="s">
        <v>1733</v>
      </c>
      <c r="AC280" s="781"/>
      <c r="AD280" s="781"/>
      <c r="AE280" s="781"/>
      <c r="AF280" s="781"/>
      <c r="AG280" s="781"/>
      <c r="AH280" s="781"/>
      <c r="AI280" s="781"/>
      <c r="AJ280" s="781"/>
      <c r="AK280" s="781"/>
      <c r="AL280" s="781"/>
      <c r="AM280" s="781"/>
      <c r="AN280" s="781"/>
      <c r="AO280" s="781"/>
      <c r="AP280" s="781"/>
      <c r="AQ280" s="781"/>
    </row>
    <row r="281" spans="4:43" ht="27" customHeight="1" outlineLevel="1">
      <c r="D281" s="1">
        <v>44</v>
      </c>
      <c r="AB281" s="832" t="s">
        <v>1734</v>
      </c>
      <c r="AC281" s="781"/>
      <c r="AD281" s="781"/>
      <c r="AE281" s="781"/>
      <c r="AF281" s="781"/>
      <c r="AG281" s="781"/>
      <c r="AH281" s="781"/>
      <c r="AI281" s="781"/>
      <c r="AJ281" s="781"/>
      <c r="AK281" s="781"/>
      <c r="AL281" s="781"/>
      <c r="AM281" s="781"/>
      <c r="AN281" s="781"/>
      <c r="AO281" s="781"/>
      <c r="AP281" s="781"/>
      <c r="AQ281" s="781"/>
    </row>
    <row r="282" spans="4:43" ht="48.75" customHeight="1" outlineLevel="1">
      <c r="D282" s="1">
        <v>79</v>
      </c>
      <c r="AB282" s="832" t="s">
        <v>1735</v>
      </c>
      <c r="AC282" s="781"/>
      <c r="AD282" s="781"/>
      <c r="AE282" s="781"/>
      <c r="AF282" s="781"/>
      <c r="AG282" s="781"/>
      <c r="AH282" s="781"/>
      <c r="AI282" s="781"/>
      <c r="AJ282" s="781"/>
      <c r="AK282" s="781"/>
      <c r="AL282" s="781"/>
      <c r="AM282" s="781"/>
      <c r="AN282" s="781"/>
      <c r="AO282" s="781"/>
      <c r="AP282" s="781"/>
      <c r="AQ282" s="781"/>
    </row>
    <row r="283" spans="4:43" ht="35.25" customHeight="1" outlineLevel="1">
      <c r="D283" s="1">
        <v>56</v>
      </c>
      <c r="AB283" s="832" t="s">
        <v>1736</v>
      </c>
      <c r="AC283" s="781"/>
      <c r="AD283" s="781"/>
      <c r="AE283" s="781"/>
      <c r="AF283" s="781"/>
      <c r="AG283" s="781"/>
      <c r="AH283" s="781"/>
      <c r="AI283" s="781"/>
      <c r="AJ283" s="781"/>
      <c r="AK283" s="781"/>
      <c r="AL283" s="781"/>
      <c r="AM283" s="781"/>
      <c r="AN283" s="781"/>
      <c r="AO283" s="781"/>
      <c r="AP283" s="781"/>
      <c r="AQ283" s="781"/>
    </row>
    <row r="284" spans="4:43" ht="39.75" customHeight="1" outlineLevel="1">
      <c r="D284" s="1">
        <v>64</v>
      </c>
      <c r="AB284" s="832" t="s">
        <v>1737</v>
      </c>
      <c r="AC284" s="781"/>
      <c r="AD284" s="781"/>
      <c r="AE284" s="781"/>
      <c r="AF284" s="781"/>
      <c r="AG284" s="781"/>
      <c r="AH284" s="781"/>
      <c r="AI284" s="781"/>
      <c r="AJ284" s="781"/>
      <c r="AK284" s="781"/>
      <c r="AL284" s="781"/>
      <c r="AM284" s="781"/>
      <c r="AN284" s="781"/>
      <c r="AO284" s="781"/>
      <c r="AP284" s="781"/>
      <c r="AQ284" s="781"/>
    </row>
    <row r="285" spans="4:43" ht="39.75" customHeight="1" outlineLevel="1">
      <c r="D285" s="1">
        <v>64</v>
      </c>
      <c r="AB285" s="832" t="s">
        <v>1738</v>
      </c>
      <c r="AC285" s="781"/>
      <c r="AD285" s="781"/>
      <c r="AE285" s="781"/>
      <c r="AF285" s="781"/>
      <c r="AG285" s="781"/>
      <c r="AH285" s="781"/>
      <c r="AI285" s="781"/>
      <c r="AJ285" s="781"/>
      <c r="AK285" s="781"/>
      <c r="AL285" s="781"/>
      <c r="AM285" s="781"/>
      <c r="AN285" s="781"/>
      <c r="AO285" s="781"/>
      <c r="AP285" s="781"/>
      <c r="AQ285" s="781"/>
    </row>
    <row r="286" spans="4:43" ht="75.75" customHeight="1" outlineLevel="1">
      <c r="D286" s="1">
        <v>122</v>
      </c>
      <c r="AB286" s="832" t="s">
        <v>1739</v>
      </c>
      <c r="AC286" s="781"/>
      <c r="AD286" s="781"/>
      <c r="AE286" s="781"/>
      <c r="AF286" s="781"/>
      <c r="AG286" s="781"/>
      <c r="AH286" s="781"/>
      <c r="AI286" s="781"/>
      <c r="AJ286" s="781"/>
      <c r="AK286" s="781"/>
      <c r="AL286" s="781"/>
      <c r="AM286" s="781"/>
      <c r="AN286" s="781"/>
      <c r="AO286" s="781"/>
      <c r="AP286" s="781"/>
      <c r="AQ286" s="781"/>
    </row>
    <row r="287" spans="4:43" ht="39.75" customHeight="1" outlineLevel="1">
      <c r="D287" s="1">
        <v>64</v>
      </c>
      <c r="AB287" s="832" t="s">
        <v>1740</v>
      </c>
      <c r="AC287" s="781"/>
      <c r="AD287" s="781"/>
      <c r="AE287" s="781"/>
      <c r="AF287" s="781"/>
      <c r="AG287" s="781"/>
      <c r="AH287" s="781"/>
      <c r="AI287" s="781"/>
      <c r="AJ287" s="781"/>
      <c r="AK287" s="781"/>
      <c r="AL287" s="781"/>
      <c r="AM287" s="781"/>
      <c r="AN287" s="781"/>
      <c r="AO287" s="781"/>
      <c r="AP287" s="781"/>
      <c r="AQ287" s="781"/>
    </row>
    <row r="288" spans="4:43" ht="18" customHeight="1" outlineLevel="1">
      <c r="D288" s="1">
        <v>29</v>
      </c>
      <c r="AB288" s="781"/>
      <c r="AC288" s="781"/>
      <c r="AD288" s="781"/>
      <c r="AE288" s="781"/>
      <c r="AF288" s="781"/>
      <c r="AG288" s="781"/>
      <c r="AH288" s="781"/>
      <c r="AI288" s="781"/>
      <c r="AJ288" s="781"/>
      <c r="AK288" s="781"/>
      <c r="AL288" s="781"/>
      <c r="AM288" s="781"/>
      <c r="AN288" s="781"/>
      <c r="AO288" s="781"/>
      <c r="AP288" s="781"/>
      <c r="AQ288" s="781"/>
    </row>
    <row r="289" spans="4:43" ht="18" customHeight="1" outlineLevel="1">
      <c r="D289" s="1">
        <v>29</v>
      </c>
      <c r="AB289" s="1083"/>
      <c r="AC289" s="833"/>
      <c r="AD289" s="833"/>
      <c r="AE289" s="1084"/>
      <c r="AF289" s="66" t="s">
        <v>1435</v>
      </c>
      <c r="AG289" s="798" t="s">
        <v>943</v>
      </c>
      <c r="AH289" s="798"/>
      <c r="AI289" s="798" t="s">
        <v>755</v>
      </c>
      <c r="AJ289" s="798"/>
      <c r="AK289" s="798" t="s">
        <v>942</v>
      </c>
      <c r="AL289" s="798"/>
    </row>
    <row r="290" spans="4:43" ht="28.5" customHeight="1" outlineLevel="1">
      <c r="D290" s="1">
        <v>45</v>
      </c>
      <c r="AB290" s="47" t="s">
        <v>618</v>
      </c>
      <c r="AC290" s="796" t="s">
        <v>1453</v>
      </c>
      <c r="AD290" s="796"/>
      <c r="AE290" s="796"/>
      <c r="AF290" s="66" t="s">
        <v>619</v>
      </c>
      <c r="AG290" s="1081">
        <v>0</v>
      </c>
      <c r="AH290" s="1082"/>
      <c r="AI290" s="1081">
        <v>0</v>
      </c>
      <c r="AJ290" s="1082"/>
      <c r="AK290" s="1081">
        <v>0</v>
      </c>
      <c r="AL290" s="1082"/>
    </row>
    <row r="291" spans="4:43" ht="42.75" customHeight="1" outlineLevel="1">
      <c r="D291" s="1">
        <v>69</v>
      </c>
      <c r="AB291" s="47" t="s">
        <v>930</v>
      </c>
      <c r="AC291" s="796" t="s">
        <v>954</v>
      </c>
      <c r="AD291" s="796"/>
      <c r="AE291" s="796"/>
      <c r="AF291" s="66" t="s">
        <v>619</v>
      </c>
      <c r="AG291" s="1081">
        <v>0</v>
      </c>
      <c r="AH291" s="1082"/>
      <c r="AI291" s="1081">
        <v>0</v>
      </c>
      <c r="AJ291" s="1082"/>
      <c r="AK291" s="1081">
        <v>0</v>
      </c>
      <c r="AL291" s="1082"/>
    </row>
    <row r="292" spans="4:43" ht="28.5" customHeight="1" outlineLevel="1">
      <c r="D292" s="1">
        <v>45</v>
      </c>
      <c r="AB292" s="47" t="s">
        <v>931</v>
      </c>
      <c r="AC292" s="796" t="s">
        <v>957</v>
      </c>
      <c r="AD292" s="796"/>
      <c r="AE292" s="796"/>
      <c r="AF292" s="66" t="s">
        <v>619</v>
      </c>
      <c r="AG292" s="1081">
        <v>0</v>
      </c>
      <c r="AH292" s="1082"/>
      <c r="AI292" s="1081">
        <v>0</v>
      </c>
      <c r="AJ292" s="1082"/>
      <c r="AK292" s="1081">
        <v>0</v>
      </c>
      <c r="AL292" s="1082"/>
    </row>
    <row r="293" spans="4:43" ht="21.75" customHeight="1" outlineLevel="1">
      <c r="D293" s="1">
        <v>36</v>
      </c>
      <c r="AB293" s="781"/>
      <c r="AC293" s="781"/>
      <c r="AD293" s="781"/>
      <c r="AE293" s="781"/>
      <c r="AF293" s="781"/>
      <c r="AG293" s="781"/>
      <c r="AH293" s="781"/>
      <c r="AI293" s="781"/>
      <c r="AJ293" s="781"/>
      <c r="AK293" s="781"/>
      <c r="AL293" s="781"/>
      <c r="AM293" s="781"/>
      <c r="AN293" s="781"/>
      <c r="AO293" s="781"/>
      <c r="AP293" s="781"/>
      <c r="AQ293" s="781"/>
    </row>
    <row r="294" spans="4:43" ht="24.75" customHeight="1" outlineLevel="1">
      <c r="D294" s="1">
        <v>40</v>
      </c>
      <c r="AB294" s="832" t="s">
        <v>1741</v>
      </c>
      <c r="AC294" s="781"/>
      <c r="AD294" s="781"/>
      <c r="AE294" s="781"/>
      <c r="AF294" s="781"/>
      <c r="AG294" s="781"/>
      <c r="AH294" s="781"/>
      <c r="AI294" s="781"/>
      <c r="AJ294" s="781"/>
      <c r="AK294" s="781"/>
      <c r="AL294" s="781"/>
      <c r="AM294" s="781"/>
      <c r="AN294" s="781"/>
      <c r="AO294" s="781"/>
      <c r="AP294" s="781"/>
      <c r="AQ294" s="781"/>
    </row>
    <row r="295" spans="4:43" ht="12" customHeight="1" outlineLevel="1">
      <c r="D295" s="1">
        <v>20</v>
      </c>
      <c r="AB295" s="832" t="s">
        <v>1742</v>
      </c>
      <c r="AC295" s="781"/>
      <c r="AD295" s="781"/>
      <c r="AE295" s="781"/>
      <c r="AF295" s="781"/>
      <c r="AG295" s="781"/>
      <c r="AH295" s="781"/>
      <c r="AI295" s="781"/>
      <c r="AJ295" s="781"/>
      <c r="AK295" s="781"/>
      <c r="AL295" s="781"/>
      <c r="AM295" s="781"/>
      <c r="AN295" s="781"/>
      <c r="AO295" s="781"/>
      <c r="AP295" s="781"/>
      <c r="AQ295" s="781"/>
    </row>
    <row r="296" spans="4:43" ht="28.5" customHeight="1">
      <c r="D296" s="1">
        <v>45</v>
      </c>
    </row>
    <row r="297" spans="4:43" ht="17.25" customHeight="1" outlineLevel="1">
      <c r="D297" s="1">
        <v>28</v>
      </c>
      <c r="AA297" s="781"/>
      <c r="AB297" s="1080" t="s">
        <v>1743</v>
      </c>
      <c r="AC297" s="781"/>
      <c r="AD297" s="781"/>
      <c r="AE297" s="781"/>
      <c r="AF297" s="781"/>
      <c r="AG297" s="781"/>
      <c r="AH297" s="781"/>
      <c r="AI297" s="781"/>
      <c r="AJ297" s="781"/>
      <c r="AK297" s="781"/>
      <c r="AL297" s="781"/>
      <c r="AM297" s="781"/>
      <c r="AN297" s="781"/>
      <c r="AO297" s="781"/>
      <c r="AP297" s="781"/>
      <c r="AQ297" s="781"/>
    </row>
    <row r="298" spans="4:43" ht="27" customHeight="1" outlineLevel="1">
      <c r="D298" s="1">
        <v>44</v>
      </c>
      <c r="AA298" s="781"/>
      <c r="AB298" s="832" t="s">
        <v>1447</v>
      </c>
      <c r="AC298" s="781"/>
      <c r="AD298" s="781"/>
      <c r="AE298" s="781"/>
      <c r="AF298" s="781"/>
      <c r="AG298" s="781"/>
      <c r="AH298" s="781"/>
      <c r="AI298" s="781"/>
      <c r="AJ298" s="781"/>
      <c r="AK298" s="781"/>
      <c r="AL298" s="781"/>
      <c r="AM298" s="781"/>
      <c r="AN298" s="781"/>
      <c r="AO298" s="781"/>
      <c r="AP298" s="781"/>
      <c r="AQ298" s="781"/>
    </row>
    <row r="299" spans="4:43" ht="28.5" customHeight="1" outlineLevel="1">
      <c r="D299" s="1">
        <v>45</v>
      </c>
      <c r="AB299" s="832" t="s">
        <v>1744</v>
      </c>
      <c r="AC299" s="781"/>
      <c r="AD299" s="781"/>
      <c r="AE299" s="781"/>
      <c r="AF299" s="781"/>
      <c r="AG299" s="781"/>
      <c r="AH299" s="781"/>
      <c r="AI299" s="781"/>
      <c r="AJ299" s="781"/>
      <c r="AK299" s="781"/>
      <c r="AL299" s="781"/>
      <c r="AM299" s="781"/>
      <c r="AN299" s="781"/>
      <c r="AO299" s="781"/>
      <c r="AP299" s="781"/>
      <c r="AQ299" s="781"/>
    </row>
    <row r="300" spans="4:43" ht="77.25" customHeight="1" outlineLevel="1">
      <c r="D300" s="1">
        <v>124</v>
      </c>
      <c r="AB300" s="832" t="s">
        <v>1745</v>
      </c>
      <c r="AC300" s="781"/>
      <c r="AD300" s="781"/>
      <c r="AE300" s="781"/>
      <c r="AF300" s="781"/>
      <c r="AG300" s="781"/>
      <c r="AH300" s="781"/>
      <c r="AI300" s="781"/>
      <c r="AJ300" s="781"/>
      <c r="AK300" s="781"/>
      <c r="AL300" s="781"/>
      <c r="AM300" s="781"/>
      <c r="AN300" s="781"/>
      <c r="AO300" s="781"/>
      <c r="AP300" s="781"/>
      <c r="AQ300" s="781"/>
    </row>
    <row r="301" spans="4:43" ht="38.25" customHeight="1" outlineLevel="1">
      <c r="D301" s="1">
        <v>61</v>
      </c>
      <c r="AB301" s="832" t="s">
        <v>1746</v>
      </c>
      <c r="AC301" s="781"/>
      <c r="AD301" s="781"/>
      <c r="AE301" s="781"/>
      <c r="AF301" s="781"/>
      <c r="AG301" s="781"/>
      <c r="AH301" s="781"/>
      <c r="AI301" s="781"/>
      <c r="AJ301" s="781"/>
      <c r="AK301" s="781"/>
      <c r="AL301" s="781"/>
      <c r="AM301" s="781"/>
      <c r="AN301" s="781"/>
      <c r="AO301" s="781"/>
      <c r="AP301" s="781"/>
      <c r="AQ301" s="781"/>
    </row>
    <row r="302" spans="4:43" ht="38.25" customHeight="1" outlineLevel="1">
      <c r="D302" s="1">
        <v>61</v>
      </c>
      <c r="AB302" s="832" t="s">
        <v>1747</v>
      </c>
      <c r="AC302" s="781"/>
      <c r="AD302" s="781"/>
      <c r="AE302" s="781"/>
      <c r="AF302" s="781"/>
      <c r="AG302" s="781"/>
      <c r="AH302" s="781"/>
      <c r="AI302" s="781"/>
      <c r="AJ302" s="781"/>
      <c r="AK302" s="781"/>
      <c r="AL302" s="781"/>
      <c r="AM302" s="781"/>
      <c r="AN302" s="781"/>
      <c r="AO302" s="781"/>
      <c r="AP302" s="781"/>
      <c r="AQ302" s="781"/>
    </row>
    <row r="303" spans="4:43" ht="28.5" customHeight="1">
      <c r="D303" s="1">
        <v>45</v>
      </c>
    </row>
    <row r="304" spans="4:43" ht="17.25" customHeight="1" outlineLevel="2">
      <c r="D304" s="1">
        <v>28</v>
      </c>
      <c r="AA304" s="781"/>
      <c r="AB304" s="1080" t="s">
        <v>1455</v>
      </c>
      <c r="AC304" s="781"/>
      <c r="AD304" s="781"/>
      <c r="AE304" s="781"/>
      <c r="AF304" s="781"/>
      <c r="AG304" s="781"/>
      <c r="AH304" s="781"/>
      <c r="AI304" s="781"/>
      <c r="AJ304" s="781"/>
      <c r="AK304" s="781"/>
      <c r="AL304" s="781"/>
      <c r="AM304" s="781"/>
      <c r="AN304" s="781"/>
      <c r="AO304" s="781"/>
      <c r="AP304" s="781"/>
      <c r="AQ304" s="781"/>
    </row>
    <row r="305" spans="4:43" ht="39.75" customHeight="1" outlineLevel="2">
      <c r="D305" s="1">
        <v>64</v>
      </c>
      <c r="AA305" s="781"/>
      <c r="AB305" s="832" t="s">
        <v>1456</v>
      </c>
      <c r="AC305" s="781"/>
      <c r="AD305" s="781"/>
      <c r="AE305" s="781"/>
      <c r="AF305" s="781"/>
      <c r="AG305" s="781"/>
      <c r="AH305" s="781"/>
      <c r="AI305" s="781"/>
      <c r="AJ305" s="781"/>
      <c r="AK305" s="781"/>
      <c r="AL305" s="781"/>
      <c r="AM305" s="781"/>
      <c r="AN305" s="781"/>
      <c r="AO305" s="781"/>
      <c r="AP305" s="781"/>
      <c r="AQ305" s="781"/>
    </row>
    <row r="306" spans="4:43" ht="15" customHeight="1" outlineLevel="2">
      <c r="D306" s="1">
        <v>24</v>
      </c>
      <c r="AB306" s="832" t="s">
        <v>1748</v>
      </c>
      <c r="AC306" s="781"/>
      <c r="AD306" s="781"/>
      <c r="AE306" s="781"/>
      <c r="AF306" s="781"/>
      <c r="AG306" s="781"/>
      <c r="AH306" s="781"/>
      <c r="AI306" s="781"/>
      <c r="AJ306" s="781"/>
      <c r="AK306" s="781"/>
      <c r="AL306" s="781"/>
      <c r="AM306" s="781"/>
      <c r="AN306" s="781"/>
      <c r="AO306" s="781"/>
      <c r="AP306" s="781"/>
      <c r="AQ306" s="781"/>
    </row>
    <row r="307" spans="4:43" ht="15" customHeight="1" outlineLevel="2">
      <c r="D307" s="1">
        <v>24</v>
      </c>
      <c r="AB307" s="832" t="s">
        <v>1749</v>
      </c>
      <c r="AC307" s="781"/>
      <c r="AD307" s="781"/>
      <c r="AE307" s="781"/>
      <c r="AF307" s="781"/>
      <c r="AG307" s="781"/>
      <c r="AH307" s="781"/>
      <c r="AI307" s="781"/>
      <c r="AJ307" s="781"/>
      <c r="AK307" s="781"/>
      <c r="AL307" s="781"/>
      <c r="AM307" s="781"/>
      <c r="AN307" s="781"/>
      <c r="AO307" s="781"/>
      <c r="AP307" s="781"/>
      <c r="AQ307" s="781"/>
    </row>
    <row r="308" spans="4:43" ht="15" customHeight="1" outlineLevel="2">
      <c r="D308" s="1">
        <v>24</v>
      </c>
      <c r="AB308" s="832" t="s">
        <v>1750</v>
      </c>
      <c r="AC308" s="781"/>
      <c r="AD308" s="781"/>
      <c r="AE308" s="781"/>
      <c r="AF308" s="781"/>
      <c r="AG308" s="781"/>
      <c r="AH308" s="781"/>
      <c r="AI308" s="781"/>
      <c r="AJ308" s="781"/>
      <c r="AK308" s="781"/>
      <c r="AL308" s="781"/>
      <c r="AM308" s="781"/>
      <c r="AN308" s="781"/>
      <c r="AO308" s="781"/>
      <c r="AP308" s="781"/>
      <c r="AQ308" s="781"/>
    </row>
    <row r="309" spans="4:43" ht="15" customHeight="1" outlineLevel="2">
      <c r="D309" s="1">
        <v>24</v>
      </c>
      <c r="AB309" s="832" t="s">
        <v>1751</v>
      </c>
      <c r="AC309" s="781"/>
      <c r="AD309" s="781"/>
      <c r="AE309" s="781"/>
      <c r="AF309" s="781"/>
      <c r="AG309" s="781"/>
      <c r="AH309" s="781"/>
      <c r="AI309" s="781"/>
      <c r="AJ309" s="781"/>
      <c r="AK309" s="781"/>
      <c r="AL309" s="781"/>
      <c r="AM309" s="781"/>
      <c r="AN309" s="781"/>
      <c r="AO309" s="781"/>
      <c r="AP309" s="781"/>
      <c r="AQ309" s="781"/>
    </row>
    <row r="310" spans="4:43" ht="15" customHeight="1" outlineLevel="2">
      <c r="D310" s="1">
        <v>24</v>
      </c>
      <c r="AB310" s="832" t="s">
        <v>1752</v>
      </c>
      <c r="AC310" s="781"/>
      <c r="AD310" s="781"/>
      <c r="AE310" s="781"/>
      <c r="AF310" s="781"/>
      <c r="AG310" s="781"/>
      <c r="AH310" s="781"/>
      <c r="AI310" s="781"/>
      <c r="AJ310" s="781"/>
      <c r="AK310" s="781"/>
      <c r="AL310" s="781"/>
      <c r="AM310" s="781"/>
      <c r="AN310" s="781"/>
      <c r="AO310" s="781"/>
      <c r="AP310" s="781"/>
      <c r="AQ310" s="781"/>
    </row>
    <row r="311" spans="4:43" ht="15" customHeight="1" outlineLevel="2">
      <c r="D311" s="1">
        <v>24</v>
      </c>
      <c r="AB311" s="832" t="s">
        <v>1753</v>
      </c>
      <c r="AC311" s="781"/>
      <c r="AD311" s="781"/>
      <c r="AE311" s="781"/>
      <c r="AF311" s="781"/>
      <c r="AG311" s="781"/>
      <c r="AH311" s="781"/>
      <c r="AI311" s="781"/>
      <c r="AJ311" s="781"/>
      <c r="AK311" s="781"/>
      <c r="AL311" s="781"/>
      <c r="AM311" s="781"/>
      <c r="AN311" s="781"/>
      <c r="AO311" s="781"/>
      <c r="AP311" s="781"/>
      <c r="AQ311" s="781"/>
    </row>
    <row r="312" spans="4:43" ht="15" customHeight="1" outlineLevel="2">
      <c r="D312" s="1">
        <v>24</v>
      </c>
      <c r="AB312" s="832" t="s">
        <v>1754</v>
      </c>
      <c r="AC312" s="781"/>
      <c r="AD312" s="781"/>
      <c r="AE312" s="781"/>
      <c r="AF312" s="781"/>
      <c r="AG312" s="781"/>
      <c r="AH312" s="781"/>
      <c r="AI312" s="781"/>
      <c r="AJ312" s="781"/>
      <c r="AK312" s="781"/>
      <c r="AL312" s="781"/>
      <c r="AM312" s="781"/>
      <c r="AN312" s="781"/>
      <c r="AO312" s="781"/>
      <c r="AP312" s="781"/>
      <c r="AQ312" s="781"/>
    </row>
    <row r="313" spans="4:43" ht="15" customHeight="1" outlineLevel="2">
      <c r="D313" s="1">
        <v>24</v>
      </c>
      <c r="AB313" s="832" t="s">
        <v>1755</v>
      </c>
      <c r="AC313" s="781"/>
      <c r="AD313" s="781"/>
      <c r="AE313" s="781"/>
      <c r="AF313" s="781"/>
      <c r="AG313" s="781"/>
      <c r="AH313" s="781"/>
      <c r="AI313" s="781"/>
      <c r="AJ313" s="781"/>
      <c r="AK313" s="781"/>
      <c r="AL313" s="781"/>
      <c r="AM313" s="781"/>
      <c r="AN313" s="781"/>
      <c r="AO313" s="781"/>
      <c r="AP313" s="781"/>
      <c r="AQ313" s="781"/>
    </row>
    <row r="314" spans="4:43" ht="27" customHeight="1" outlineLevel="2">
      <c r="D314" s="1">
        <v>44</v>
      </c>
      <c r="AB314" s="832" t="s">
        <v>1756</v>
      </c>
      <c r="AC314" s="781"/>
      <c r="AD314" s="781"/>
      <c r="AE314" s="781"/>
      <c r="AF314" s="781"/>
      <c r="AG314" s="781"/>
      <c r="AH314" s="781"/>
      <c r="AI314" s="781"/>
      <c r="AJ314" s="781"/>
      <c r="AK314" s="781"/>
      <c r="AL314" s="781"/>
      <c r="AM314" s="781"/>
      <c r="AN314" s="781"/>
      <c r="AO314" s="781"/>
      <c r="AP314" s="781"/>
      <c r="AQ314" s="781"/>
    </row>
    <row r="315" spans="4:43" ht="35.25" customHeight="1" outlineLevel="2">
      <c r="D315" s="1">
        <v>56</v>
      </c>
      <c r="AB315" s="832" t="s">
        <v>1757</v>
      </c>
      <c r="AC315" s="781"/>
      <c r="AD315" s="781"/>
      <c r="AE315" s="781"/>
      <c r="AF315" s="781"/>
      <c r="AG315" s="781"/>
      <c r="AH315" s="781"/>
      <c r="AI315" s="781"/>
      <c r="AJ315" s="781"/>
      <c r="AK315" s="781"/>
      <c r="AL315" s="781"/>
      <c r="AM315" s="781"/>
      <c r="AN315" s="781"/>
      <c r="AO315" s="781"/>
      <c r="AP315" s="781"/>
      <c r="AQ315" s="781"/>
    </row>
    <row r="316" spans="4:43" ht="15.75" customHeight="1" outlineLevel="2">
      <c r="D316" s="1">
        <v>26</v>
      </c>
      <c r="AB316" s="832" t="s">
        <v>1758</v>
      </c>
      <c r="AC316" s="781"/>
      <c r="AD316" s="781"/>
      <c r="AE316" s="781"/>
      <c r="AF316" s="781"/>
      <c r="AG316" s="781"/>
      <c r="AH316" s="781"/>
      <c r="AI316" s="781"/>
      <c r="AJ316" s="781"/>
      <c r="AK316" s="781"/>
      <c r="AL316" s="781"/>
      <c r="AM316" s="781"/>
      <c r="AN316" s="781"/>
      <c r="AO316" s="781"/>
      <c r="AP316" s="781"/>
      <c r="AQ316" s="781"/>
    </row>
    <row r="317" spans="4:43" ht="27" customHeight="1" outlineLevel="2">
      <c r="D317" s="1">
        <v>44</v>
      </c>
      <c r="AB317" s="832" t="s">
        <v>1759</v>
      </c>
      <c r="AC317" s="781"/>
      <c r="AD317" s="781"/>
      <c r="AE317" s="781"/>
      <c r="AF317" s="781"/>
      <c r="AG317" s="781"/>
      <c r="AH317" s="781"/>
      <c r="AI317" s="781"/>
      <c r="AJ317" s="781"/>
      <c r="AK317" s="781"/>
      <c r="AL317" s="781"/>
      <c r="AM317" s="781"/>
      <c r="AN317" s="781"/>
      <c r="AO317" s="781"/>
      <c r="AP317" s="781"/>
      <c r="AQ317" s="781"/>
    </row>
    <row r="318" spans="4:43" ht="15.75" customHeight="1" outlineLevel="2">
      <c r="D318" s="1">
        <v>26</v>
      </c>
      <c r="AB318" s="832" t="s">
        <v>1760</v>
      </c>
      <c r="AC318" s="781"/>
      <c r="AD318" s="781"/>
      <c r="AE318" s="781"/>
      <c r="AF318" s="781"/>
      <c r="AG318" s="781"/>
      <c r="AH318" s="781"/>
      <c r="AI318" s="781"/>
      <c r="AJ318" s="781"/>
      <c r="AK318" s="781"/>
      <c r="AL318" s="781"/>
      <c r="AM318" s="781"/>
      <c r="AN318" s="781"/>
      <c r="AO318" s="781"/>
      <c r="AP318" s="781"/>
      <c r="AQ318" s="781"/>
    </row>
    <row r="319" spans="4:43" ht="18" customHeight="1" outlineLevel="2">
      <c r="D319" s="1">
        <v>29</v>
      </c>
      <c r="AB319" s="832" t="s">
        <v>1761</v>
      </c>
      <c r="AC319" s="781"/>
      <c r="AD319" s="781"/>
      <c r="AE319" s="781"/>
      <c r="AF319" s="781"/>
      <c r="AG319" s="781"/>
      <c r="AH319" s="369"/>
    </row>
    <row r="320" spans="4:43" ht="20.25" customHeight="1" outlineLevel="2">
      <c r="D320" s="1">
        <v>32</v>
      </c>
      <c r="AB320" s="832" t="s">
        <v>1762</v>
      </c>
      <c r="AC320" s="781"/>
      <c r="AD320" s="781"/>
      <c r="AE320" s="781"/>
      <c r="AF320" s="781"/>
      <c r="AG320" s="781"/>
      <c r="AH320" s="781"/>
      <c r="AI320" s="781"/>
      <c r="AJ320" s="781"/>
      <c r="AK320" s="781"/>
      <c r="AL320" s="781"/>
      <c r="AM320" s="781"/>
      <c r="AN320" s="781"/>
      <c r="AO320" s="781"/>
      <c r="AP320" s="781"/>
      <c r="AQ320" s="781"/>
    </row>
    <row r="321" spans="4:43" ht="18" customHeight="1" outlineLevel="2">
      <c r="D321" s="1">
        <v>29</v>
      </c>
      <c r="AB321" s="832" t="s">
        <v>1459</v>
      </c>
      <c r="AC321" s="781"/>
      <c r="AD321" s="781"/>
      <c r="AE321" s="781"/>
      <c r="AF321" s="781"/>
      <c r="AG321" s="781"/>
      <c r="AH321" s="369"/>
    </row>
    <row r="322" spans="4:43" ht="20.25" customHeight="1" outlineLevel="2">
      <c r="D322" s="1">
        <v>32</v>
      </c>
      <c r="AB322" s="832" t="s">
        <v>1763</v>
      </c>
      <c r="AC322" s="781"/>
      <c r="AD322" s="781"/>
      <c r="AE322" s="781"/>
      <c r="AF322" s="781"/>
      <c r="AG322" s="781"/>
      <c r="AH322" s="781"/>
      <c r="AI322" s="781"/>
      <c r="AJ322" s="781"/>
      <c r="AK322" s="781"/>
      <c r="AL322" s="781"/>
      <c r="AM322" s="781"/>
      <c r="AN322" s="781"/>
      <c r="AO322" s="781"/>
      <c r="AP322" s="781"/>
      <c r="AQ322" s="781"/>
    </row>
    <row r="323" spans="4:43" ht="19.5" customHeight="1" outlineLevel="2">
      <c r="D323" s="1">
        <v>32</v>
      </c>
      <c r="AB323" s="832" t="s">
        <v>1460</v>
      </c>
      <c r="AC323" s="781"/>
      <c r="AD323" s="781"/>
      <c r="AE323" s="781"/>
      <c r="AF323" s="781"/>
      <c r="AG323" s="781"/>
      <c r="AH323" s="369"/>
    </row>
    <row r="324" spans="4:43" ht="51" customHeight="1" outlineLevel="2">
      <c r="D324" s="1">
        <v>82</v>
      </c>
      <c r="AB324" s="832" t="s">
        <v>1764</v>
      </c>
      <c r="AC324" s="781"/>
      <c r="AD324" s="781"/>
      <c r="AE324" s="781"/>
      <c r="AF324" s="781"/>
      <c r="AG324" s="781"/>
      <c r="AH324" s="781"/>
      <c r="AI324" s="781"/>
      <c r="AJ324" s="781"/>
      <c r="AK324" s="781"/>
      <c r="AL324" s="781"/>
      <c r="AM324" s="781"/>
      <c r="AN324" s="781"/>
      <c r="AO324" s="781"/>
      <c r="AP324" s="781"/>
      <c r="AQ324" s="781"/>
    </row>
    <row r="325" spans="4:43" ht="15" customHeight="1" outlineLevel="2">
      <c r="D325" s="1">
        <v>24</v>
      </c>
      <c r="AB325" s="832" t="s">
        <v>1765</v>
      </c>
      <c r="AC325" s="781"/>
      <c r="AD325" s="781"/>
      <c r="AE325" s="781"/>
      <c r="AF325" s="781"/>
      <c r="AG325" s="781"/>
      <c r="AH325" s="781"/>
      <c r="AI325" s="781"/>
      <c r="AJ325" s="781"/>
      <c r="AK325" s="781"/>
      <c r="AL325" s="781"/>
      <c r="AM325" s="781"/>
      <c r="AN325" s="781"/>
      <c r="AO325" s="781"/>
      <c r="AP325" s="781"/>
      <c r="AQ325" s="781"/>
    </row>
    <row r="326" spans="4:43" ht="27.75" customHeight="1" outlineLevel="2">
      <c r="D326" s="1">
        <v>45</v>
      </c>
      <c r="AB326" s="832" t="s">
        <v>1766</v>
      </c>
      <c r="AC326" s="781"/>
      <c r="AD326" s="781"/>
      <c r="AE326" s="781"/>
      <c r="AF326" s="781"/>
      <c r="AG326" s="781"/>
      <c r="AH326" s="781"/>
      <c r="AI326" s="781"/>
      <c r="AJ326" s="781"/>
      <c r="AK326" s="781"/>
      <c r="AL326" s="781"/>
      <c r="AM326" s="781"/>
      <c r="AN326" s="781"/>
      <c r="AO326" s="781"/>
      <c r="AP326" s="781"/>
      <c r="AQ326" s="781"/>
    </row>
    <row r="327" spans="4:43" ht="27.75" customHeight="1" outlineLevel="2">
      <c r="D327" s="1">
        <v>45</v>
      </c>
      <c r="AB327" s="832" t="s">
        <v>1767</v>
      </c>
      <c r="AC327" s="781"/>
      <c r="AD327" s="781"/>
      <c r="AE327" s="781"/>
      <c r="AF327" s="781"/>
      <c r="AG327" s="781"/>
      <c r="AH327" s="781"/>
      <c r="AI327" s="781"/>
      <c r="AJ327" s="781"/>
      <c r="AK327" s="781"/>
      <c r="AL327" s="781"/>
      <c r="AM327" s="781"/>
      <c r="AN327" s="781"/>
      <c r="AO327" s="781"/>
      <c r="AP327" s="781"/>
      <c r="AQ327" s="781"/>
    </row>
    <row r="328" spans="4:43" ht="26.25" customHeight="1" outlineLevel="2">
      <c r="D328" s="1">
        <v>42</v>
      </c>
      <c r="AB328" s="832" t="s">
        <v>1768</v>
      </c>
      <c r="AC328" s="781"/>
      <c r="AD328" s="781"/>
      <c r="AE328" s="781"/>
      <c r="AF328" s="781"/>
      <c r="AG328" s="781"/>
      <c r="AH328" s="781"/>
      <c r="AI328" s="781"/>
      <c r="AJ328" s="781"/>
      <c r="AK328" s="781"/>
      <c r="AL328" s="781"/>
      <c r="AM328" s="781"/>
      <c r="AN328" s="781"/>
      <c r="AO328" s="781"/>
      <c r="AP328" s="781"/>
      <c r="AQ328" s="781"/>
    </row>
    <row r="329" spans="4:43" ht="18.75" customHeight="1" outlineLevel="2">
      <c r="D329" s="1">
        <v>31</v>
      </c>
      <c r="AB329" s="832" t="s">
        <v>1769</v>
      </c>
      <c r="AC329" s="781"/>
      <c r="AD329" s="781"/>
      <c r="AE329" s="781"/>
      <c r="AF329" s="781"/>
      <c r="AG329" s="781"/>
      <c r="AH329" s="781"/>
      <c r="AI329" s="781"/>
      <c r="AJ329" s="781"/>
      <c r="AK329" s="781"/>
      <c r="AL329" s="781"/>
      <c r="AM329" s="781"/>
      <c r="AN329" s="781"/>
      <c r="AO329" s="781"/>
      <c r="AP329" s="781"/>
      <c r="AQ329" s="781"/>
    </row>
    <row r="330" spans="4:43" ht="18" customHeight="1" outlineLevel="2">
      <c r="D330" s="1">
        <v>29</v>
      </c>
      <c r="AB330" s="832" t="s">
        <v>1463</v>
      </c>
      <c r="AC330" s="781"/>
      <c r="AD330" s="781"/>
      <c r="AE330" s="781"/>
      <c r="AF330" s="1056"/>
      <c r="AG330" s="370">
        <v>8</v>
      </c>
    </row>
    <row r="331" spans="4:43" ht="18" customHeight="1" outlineLevel="2">
      <c r="D331" s="1">
        <v>29</v>
      </c>
      <c r="AB331" s="832" t="s">
        <v>1770</v>
      </c>
      <c r="AC331" s="781"/>
      <c r="AD331" s="781"/>
      <c r="AE331" s="781"/>
      <c r="AF331" s="1056"/>
      <c r="AG331" s="161">
        <v>0</v>
      </c>
      <c r="AH331" s="822" t="s">
        <v>1771</v>
      </c>
      <c r="AI331" s="781"/>
      <c r="AJ331" s="781"/>
      <c r="AK331" s="781"/>
      <c r="AL331" s="781"/>
      <c r="AM331" s="781"/>
      <c r="AN331" s="781"/>
      <c r="AO331" s="781"/>
      <c r="AP331" s="781"/>
      <c r="AQ331" s="781"/>
    </row>
    <row r="332" spans="4:43" ht="18.75" customHeight="1" outlineLevel="2">
      <c r="D332" s="1">
        <v>31</v>
      </c>
      <c r="AB332" s="832" t="s">
        <v>1772</v>
      </c>
      <c r="AC332" s="781"/>
      <c r="AD332" s="781"/>
      <c r="AE332" s="781"/>
      <c r="AF332" s="781"/>
      <c r="AG332" s="781"/>
      <c r="AH332" s="781"/>
      <c r="AI332" s="781"/>
      <c r="AJ332" s="781"/>
      <c r="AK332" s="781"/>
      <c r="AL332" s="781"/>
      <c r="AM332" s="781"/>
      <c r="AN332" s="781"/>
      <c r="AO332" s="781"/>
      <c r="AP332" s="781"/>
      <c r="AQ332" s="781"/>
    </row>
    <row r="333" spans="4:43" ht="18.75" customHeight="1" outlineLevel="2">
      <c r="D333" s="1">
        <v>31</v>
      </c>
      <c r="AB333" s="832" t="s">
        <v>1773</v>
      </c>
      <c r="AC333" s="781"/>
      <c r="AD333" s="781"/>
      <c r="AE333" s="781"/>
      <c r="AF333" s="781"/>
      <c r="AG333" s="781"/>
      <c r="AH333" s="781"/>
      <c r="AI333" s="781"/>
      <c r="AJ333" s="781"/>
      <c r="AK333" s="781"/>
      <c r="AL333" s="781"/>
      <c r="AM333" s="781"/>
      <c r="AN333" s="781"/>
      <c r="AO333" s="781"/>
      <c r="AP333" s="781"/>
      <c r="AQ333" s="781"/>
    </row>
    <row r="334" spans="4:43" ht="28.5" customHeight="1">
      <c r="D334" s="1">
        <v>45</v>
      </c>
    </row>
    <row r="335" spans="4:43" ht="17.25" customHeight="1" outlineLevel="1">
      <c r="D335" s="1">
        <v>28</v>
      </c>
      <c r="AA335" s="781"/>
      <c r="AB335" s="1080" t="s">
        <v>1774</v>
      </c>
      <c r="AC335" s="781"/>
      <c r="AD335" s="781"/>
      <c r="AE335" s="781"/>
      <c r="AF335" s="781"/>
      <c r="AG335" s="781"/>
      <c r="AH335" s="781"/>
      <c r="AI335" s="781"/>
      <c r="AJ335" s="781"/>
      <c r="AK335" s="781"/>
      <c r="AL335" s="781"/>
      <c r="AM335" s="781"/>
      <c r="AN335" s="781"/>
      <c r="AO335" s="781"/>
      <c r="AP335" s="781"/>
      <c r="AQ335" s="781"/>
    </row>
    <row r="336" spans="4:43" ht="28.5" customHeight="1" outlineLevel="1">
      <c r="D336" s="1">
        <v>45</v>
      </c>
      <c r="AA336" s="781"/>
      <c r="AB336" s="832" t="s">
        <v>1775</v>
      </c>
      <c r="AC336" s="781"/>
      <c r="AD336" s="781"/>
      <c r="AE336" s="781"/>
      <c r="AF336" s="781"/>
      <c r="AG336" s="781"/>
      <c r="AH336" s="781"/>
      <c r="AI336" s="781"/>
      <c r="AJ336" s="781"/>
      <c r="AK336" s="781"/>
      <c r="AL336" s="781"/>
      <c r="AM336" s="781"/>
      <c r="AN336" s="781"/>
      <c r="AO336" s="781"/>
      <c r="AP336" s="781"/>
      <c r="AQ336" s="781"/>
    </row>
    <row r="337" spans="4:43" ht="66" customHeight="1" outlineLevel="1">
      <c r="D337" s="1">
        <v>106</v>
      </c>
      <c r="AB337" s="832" t="s">
        <v>1776</v>
      </c>
      <c r="AC337" s="781"/>
      <c r="AD337" s="781"/>
      <c r="AE337" s="781"/>
      <c r="AF337" s="781"/>
      <c r="AG337" s="781"/>
      <c r="AH337" s="781"/>
      <c r="AI337" s="781"/>
      <c r="AJ337" s="781"/>
      <c r="AK337" s="781"/>
      <c r="AL337" s="781"/>
      <c r="AM337" s="781"/>
      <c r="AN337" s="781"/>
      <c r="AO337" s="781"/>
      <c r="AP337" s="781"/>
      <c r="AQ337" s="781"/>
    </row>
    <row r="338" spans="4:43" ht="28.5" customHeight="1" outlineLevel="1">
      <c r="D338" s="1">
        <v>45</v>
      </c>
      <c r="AB338" s="832" t="s">
        <v>1777</v>
      </c>
      <c r="AC338" s="781"/>
      <c r="AD338" s="781"/>
      <c r="AE338" s="781"/>
      <c r="AF338" s="781"/>
      <c r="AG338" s="781"/>
      <c r="AH338" s="781"/>
      <c r="AI338" s="781"/>
      <c r="AJ338" s="781"/>
      <c r="AK338" s="781"/>
      <c r="AL338" s="781"/>
      <c r="AM338" s="781"/>
      <c r="AN338" s="781"/>
      <c r="AO338" s="781"/>
      <c r="AP338" s="781"/>
      <c r="AQ338" s="781"/>
    </row>
    <row r="339" spans="4:43" ht="111.75" customHeight="1" outlineLevel="1">
      <c r="D339" s="1">
        <v>180</v>
      </c>
      <c r="AB339" s="832" t="s">
        <v>1778</v>
      </c>
      <c r="AC339" s="781"/>
      <c r="AD339" s="781"/>
      <c r="AE339" s="781"/>
      <c r="AF339" s="781"/>
      <c r="AG339" s="781"/>
      <c r="AH339" s="781"/>
      <c r="AI339" s="781"/>
      <c r="AJ339" s="781"/>
      <c r="AK339" s="781"/>
      <c r="AL339" s="781"/>
      <c r="AM339" s="781"/>
      <c r="AN339" s="781"/>
      <c r="AO339" s="781"/>
      <c r="AP339" s="781"/>
      <c r="AQ339" s="781"/>
    </row>
    <row r="340" spans="4:43" ht="119.25" customHeight="1" outlineLevel="1">
      <c r="D340" s="1">
        <v>191</v>
      </c>
      <c r="AB340" s="832" t="s">
        <v>1779</v>
      </c>
      <c r="AC340" s="781"/>
      <c r="AD340" s="781"/>
      <c r="AE340" s="781"/>
      <c r="AF340" s="781"/>
      <c r="AG340" s="781"/>
      <c r="AH340" s="781"/>
      <c r="AI340" s="781"/>
      <c r="AJ340" s="781"/>
      <c r="AK340" s="781"/>
      <c r="AL340" s="781"/>
      <c r="AM340" s="781"/>
      <c r="AN340" s="781"/>
      <c r="AO340" s="781"/>
      <c r="AP340" s="781"/>
      <c r="AQ340" s="781"/>
    </row>
    <row r="341" spans="4:43" ht="20.25" customHeight="1" outlineLevel="1">
      <c r="D341" s="1">
        <v>32</v>
      </c>
      <c r="AB341" s="832" t="s">
        <v>1780</v>
      </c>
      <c r="AC341" s="781"/>
      <c r="AD341" s="781"/>
      <c r="AE341" s="781"/>
      <c r="AF341" s="781"/>
      <c r="AG341" s="781"/>
      <c r="AH341" s="781"/>
      <c r="AI341" s="781"/>
      <c r="AJ341" s="781"/>
      <c r="AK341" s="781"/>
      <c r="AL341" s="781"/>
      <c r="AM341" s="781"/>
      <c r="AN341" s="781"/>
      <c r="AO341" s="781"/>
      <c r="AP341" s="781"/>
      <c r="AQ341" s="781"/>
    </row>
    <row r="342" spans="4:43" ht="20.25" customHeight="1" outlineLevel="1">
      <c r="D342" s="1">
        <v>32</v>
      </c>
      <c r="AC342" s="1085"/>
      <c r="AD342" s="1086"/>
      <c r="AE342" s="1086"/>
      <c r="AF342" s="1086"/>
      <c r="AG342" s="1087"/>
      <c r="AH342" s="156" t="s">
        <v>1726</v>
      </c>
      <c r="AI342" s="156" t="s">
        <v>1726</v>
      </c>
      <c r="AJ342" s="1091" t="s">
        <v>941</v>
      </c>
      <c r="AK342" s="1092"/>
      <c r="AL342" s="843" t="s">
        <v>1474</v>
      </c>
      <c r="AM342" s="1093"/>
      <c r="AN342" s="1093"/>
      <c r="AO342" s="1093"/>
      <c r="AP342" s="1093"/>
      <c r="AQ342" s="845"/>
    </row>
    <row r="343" spans="4:43" ht="27.75" customHeight="1" outlineLevel="1">
      <c r="D343" s="1">
        <v>45</v>
      </c>
      <c r="AC343" s="1088"/>
      <c r="AD343" s="1089"/>
      <c r="AE343" s="1089"/>
      <c r="AF343" s="1089"/>
      <c r="AG343" s="1090"/>
      <c r="AH343" s="156" t="s">
        <v>943</v>
      </c>
      <c r="AI343" s="66" t="s">
        <v>755</v>
      </c>
      <c r="AJ343" s="66" t="s">
        <v>633</v>
      </c>
      <c r="AK343" s="66" t="s">
        <v>1475</v>
      </c>
      <c r="AL343" s="844"/>
      <c r="AM343" s="1094"/>
      <c r="AN343" s="1094"/>
      <c r="AO343" s="1094"/>
      <c r="AP343" s="1094"/>
      <c r="AQ343" s="846"/>
    </row>
    <row r="344" spans="4:43" ht="30" customHeight="1" outlineLevel="1">
      <c r="D344" s="1">
        <v>48</v>
      </c>
      <c r="AC344" s="1096" t="s">
        <v>964</v>
      </c>
      <c r="AD344" s="793"/>
      <c r="AE344" s="793"/>
      <c r="AF344" s="1097"/>
      <c r="AG344" s="70" t="s">
        <v>619</v>
      </c>
      <c r="AH344" s="161">
        <v>0</v>
      </c>
      <c r="AI344" s="161">
        <v>0</v>
      </c>
      <c r="AJ344" s="371" t="s">
        <v>549</v>
      </c>
      <c r="AK344" s="161">
        <v>0</v>
      </c>
      <c r="AL344" s="1091"/>
      <c r="AM344" s="780"/>
      <c r="AN344" s="780"/>
      <c r="AO344" s="780"/>
      <c r="AP344" s="780"/>
      <c r="AQ344" s="1092"/>
    </row>
    <row r="345" spans="4:43" ht="141.75" customHeight="1" outlineLevel="1">
      <c r="D345" s="1">
        <v>228</v>
      </c>
      <c r="AC345" s="834" t="s">
        <v>965</v>
      </c>
      <c r="AD345" s="785"/>
      <c r="AE345" s="785"/>
      <c r="AF345" s="1095"/>
      <c r="AG345" s="66" t="s">
        <v>619</v>
      </c>
      <c r="AH345" s="161">
        <v>0</v>
      </c>
      <c r="AI345" s="161">
        <v>0</v>
      </c>
      <c r="AJ345" s="371" t="s">
        <v>549</v>
      </c>
      <c r="AK345" s="161">
        <v>0</v>
      </c>
      <c r="AL345" s="1068"/>
      <c r="AM345" s="1069"/>
      <c r="AN345" s="1069"/>
      <c r="AO345" s="1069"/>
      <c r="AP345" s="1069"/>
      <c r="AQ345" s="1069"/>
    </row>
    <row r="346" spans="4:43" ht="26.25" customHeight="1" outlineLevel="1">
      <c r="D346" s="1">
        <v>42</v>
      </c>
      <c r="AC346" s="834" t="s">
        <v>1476</v>
      </c>
      <c r="AD346" s="785"/>
      <c r="AE346" s="785"/>
      <c r="AF346" s="1095"/>
      <c r="AG346" s="66" t="s">
        <v>619</v>
      </c>
      <c r="AH346" s="161">
        <v>0</v>
      </c>
      <c r="AI346" s="161">
        <v>0</v>
      </c>
      <c r="AJ346" s="371" t="s">
        <v>549</v>
      </c>
      <c r="AK346" s="161">
        <v>0</v>
      </c>
      <c r="AL346" s="1068"/>
      <c r="AM346" s="1069"/>
      <c r="AN346" s="1069"/>
      <c r="AO346" s="1069"/>
      <c r="AP346" s="1069"/>
      <c r="AQ346" s="1069"/>
    </row>
    <row r="347" spans="4:43" ht="26.25" customHeight="1" outlineLevel="1">
      <c r="D347" s="1">
        <v>42</v>
      </c>
      <c r="AC347" s="834" t="s">
        <v>966</v>
      </c>
      <c r="AD347" s="785"/>
      <c r="AE347" s="785"/>
      <c r="AF347" s="1095"/>
      <c r="AG347" s="66" t="s">
        <v>619</v>
      </c>
      <c r="AH347" s="161">
        <v>0</v>
      </c>
      <c r="AI347" s="161">
        <v>0</v>
      </c>
      <c r="AJ347" s="371" t="s">
        <v>549</v>
      </c>
      <c r="AK347" s="161">
        <v>0</v>
      </c>
      <c r="AL347" s="1068"/>
      <c r="AM347" s="1069"/>
      <c r="AN347" s="1069"/>
      <c r="AO347" s="1069"/>
      <c r="AP347" s="1069"/>
      <c r="AQ347" s="1069"/>
    </row>
    <row r="348" spans="4:43" ht="28.5" customHeight="1" outlineLevel="1">
      <c r="D348" s="1">
        <v>45</v>
      </c>
      <c r="AC348" s="834" t="s">
        <v>967</v>
      </c>
      <c r="AD348" s="785"/>
      <c r="AE348" s="785"/>
      <c r="AF348" s="1095"/>
      <c r="AG348" s="66" t="s">
        <v>619</v>
      </c>
      <c r="AH348" s="161">
        <v>0</v>
      </c>
      <c r="AI348" s="161">
        <v>0</v>
      </c>
      <c r="AJ348" s="371" t="s">
        <v>549</v>
      </c>
      <c r="AK348" s="161">
        <v>0</v>
      </c>
      <c r="AL348" s="1068"/>
      <c r="AM348" s="1069"/>
      <c r="AN348" s="1069"/>
      <c r="AO348" s="1069"/>
      <c r="AP348" s="1069"/>
      <c r="AQ348" s="1069"/>
    </row>
    <row r="349" spans="4:43" ht="28.5" customHeight="1" outlineLevel="1">
      <c r="D349" s="1">
        <v>45</v>
      </c>
      <c r="AC349" s="834" t="s">
        <v>968</v>
      </c>
      <c r="AD349" s="785"/>
      <c r="AE349" s="785"/>
      <c r="AF349" s="1095"/>
      <c r="AG349" s="66" t="s">
        <v>619</v>
      </c>
      <c r="AH349" s="161">
        <v>0</v>
      </c>
      <c r="AI349" s="161">
        <v>0</v>
      </c>
      <c r="AJ349" s="371" t="s">
        <v>549</v>
      </c>
      <c r="AK349" s="161">
        <v>0</v>
      </c>
      <c r="AL349" s="1068"/>
      <c r="AM349" s="1069"/>
      <c r="AN349" s="1069"/>
      <c r="AO349" s="1069"/>
      <c r="AP349" s="1069"/>
      <c r="AQ349" s="1069"/>
    </row>
    <row r="350" spans="4:43" ht="28.5" customHeight="1" outlineLevel="1">
      <c r="D350" s="1">
        <v>45</v>
      </c>
      <c r="AC350" s="834" t="s">
        <v>969</v>
      </c>
      <c r="AD350" s="785"/>
      <c r="AE350" s="785"/>
      <c r="AF350" s="1095"/>
      <c r="AG350" s="66" t="s">
        <v>619</v>
      </c>
      <c r="AH350" s="161">
        <v>0</v>
      </c>
      <c r="AI350" s="161">
        <v>0</v>
      </c>
      <c r="AJ350" s="371" t="s">
        <v>549</v>
      </c>
      <c r="AK350" s="161">
        <v>0</v>
      </c>
      <c r="AL350" s="1068"/>
      <c r="AM350" s="1069"/>
      <c r="AN350" s="1069"/>
      <c r="AO350" s="1069"/>
      <c r="AP350" s="1069"/>
      <c r="AQ350" s="1069"/>
    </row>
    <row r="351" spans="4:43" ht="35.25" customHeight="1" outlineLevel="1">
      <c r="D351" s="1">
        <v>56</v>
      </c>
      <c r="AC351" s="1098" t="s">
        <v>970</v>
      </c>
      <c r="AD351" s="1099"/>
      <c r="AE351" s="1099"/>
      <c r="AF351" s="1100"/>
      <c r="AG351" s="66" t="s">
        <v>619</v>
      </c>
      <c r="AH351" s="161">
        <v>0</v>
      </c>
      <c r="AI351" s="161">
        <v>0</v>
      </c>
      <c r="AJ351" s="371" t="s">
        <v>549</v>
      </c>
      <c r="AK351" s="161">
        <v>0</v>
      </c>
      <c r="AL351" s="1068"/>
      <c r="AM351" s="1069"/>
      <c r="AN351" s="1069"/>
      <c r="AO351" s="1069"/>
      <c r="AP351" s="1069"/>
      <c r="AQ351" s="1069"/>
    </row>
    <row r="352" spans="4:43" ht="35.25" customHeight="1" outlineLevel="1">
      <c r="D352" s="1">
        <v>56</v>
      </c>
      <c r="AC352" s="1098" t="s">
        <v>971</v>
      </c>
      <c r="AD352" s="1099"/>
      <c r="AE352" s="1099"/>
      <c r="AF352" s="1100"/>
      <c r="AG352" s="66" t="s">
        <v>619</v>
      </c>
      <c r="AH352" s="161">
        <v>0</v>
      </c>
      <c r="AI352" s="161">
        <v>0</v>
      </c>
      <c r="AJ352" s="371" t="s">
        <v>549</v>
      </c>
      <c r="AK352" s="161">
        <v>0</v>
      </c>
      <c r="AL352" s="1068"/>
      <c r="AM352" s="1069"/>
      <c r="AN352" s="1069"/>
      <c r="AO352" s="1069"/>
      <c r="AP352" s="1069"/>
      <c r="AQ352" s="1069"/>
    </row>
    <row r="353" spans="4:43" ht="35.25" customHeight="1" outlineLevel="1">
      <c r="D353" s="1">
        <v>56</v>
      </c>
      <c r="AC353" s="1098" t="s">
        <v>972</v>
      </c>
      <c r="AD353" s="1099"/>
      <c r="AE353" s="1099"/>
      <c r="AF353" s="1100"/>
      <c r="AG353" s="66" t="s">
        <v>619</v>
      </c>
      <c r="AH353" s="161">
        <v>0</v>
      </c>
      <c r="AI353" s="161">
        <v>0</v>
      </c>
      <c r="AJ353" s="371" t="s">
        <v>549</v>
      </c>
      <c r="AK353" s="161">
        <v>0</v>
      </c>
      <c r="AL353" s="1068"/>
      <c r="AM353" s="1069"/>
      <c r="AN353" s="1069"/>
      <c r="AO353" s="1069"/>
      <c r="AP353" s="1069"/>
      <c r="AQ353" s="1069"/>
    </row>
    <row r="354" spans="4:43" ht="20.25" customHeight="1" outlineLevel="1">
      <c r="D354" s="1">
        <v>32</v>
      </c>
    </row>
    <row r="355" spans="4:43" ht="24.75" customHeight="1" outlineLevel="1">
      <c r="D355" s="1">
        <v>40</v>
      </c>
      <c r="AB355" s="832" t="s">
        <v>1781</v>
      </c>
      <c r="AC355" s="781"/>
      <c r="AD355" s="781"/>
      <c r="AE355" s="781"/>
      <c r="AF355" s="781"/>
      <c r="AG355" s="781"/>
      <c r="AH355" s="781"/>
      <c r="AI355" s="781"/>
      <c r="AJ355" s="781"/>
      <c r="AK355" s="781"/>
      <c r="AL355" s="781"/>
      <c r="AM355" s="781"/>
      <c r="AN355" s="781"/>
      <c r="AO355" s="781"/>
      <c r="AP355" s="781"/>
      <c r="AQ355" s="781"/>
    </row>
    <row r="356" spans="4:43" ht="35.25" customHeight="1" outlineLevel="1">
      <c r="D356" s="1">
        <v>56</v>
      </c>
      <c r="AB356" s="878"/>
      <c r="AC356" s="878"/>
      <c r="AD356" s="878"/>
      <c r="AE356" s="878"/>
      <c r="AF356" s="878"/>
      <c r="AG356" s="878"/>
      <c r="AH356" s="878"/>
      <c r="AI356" s="878"/>
      <c r="AJ356" s="878"/>
      <c r="AK356" s="878"/>
      <c r="AL356" s="878"/>
      <c r="AM356" s="878"/>
      <c r="AN356" s="878"/>
      <c r="AO356" s="878"/>
      <c r="AP356" s="878"/>
      <c r="AQ356" s="878"/>
    </row>
    <row r="357" spans="4:43" ht="35.25" customHeight="1" outlineLevel="1">
      <c r="D357" s="1">
        <v>56</v>
      </c>
      <c r="AB357" s="1038"/>
      <c r="AC357" s="1038"/>
      <c r="AD357" s="1038"/>
      <c r="AE357" s="1038"/>
      <c r="AF357" s="1038"/>
      <c r="AG357" s="1038"/>
      <c r="AH357" s="1038"/>
      <c r="AI357" s="1038"/>
      <c r="AJ357" s="1038"/>
      <c r="AK357" s="1038"/>
      <c r="AL357" s="1038"/>
      <c r="AM357" s="1038"/>
      <c r="AN357" s="1038"/>
      <c r="AO357" s="1038"/>
      <c r="AP357" s="1038"/>
      <c r="AQ357" s="1038"/>
    </row>
    <row r="358" spans="4:43" ht="28.5" hidden="1" customHeight="1">
      <c r="D358" s="1">
        <v>0</v>
      </c>
    </row>
    <row r="359" spans="4:43" ht="17.25" customHeight="1" outlineLevel="1">
      <c r="D359" s="1">
        <v>28</v>
      </c>
      <c r="AA359" s="781"/>
      <c r="AB359" s="1080" t="s">
        <v>1487</v>
      </c>
      <c r="AC359" s="1080" t="s">
        <v>1487</v>
      </c>
      <c r="AD359" s="781"/>
      <c r="AE359" s="781"/>
      <c r="AF359" s="781"/>
      <c r="AG359" s="781"/>
      <c r="AH359" s="781"/>
      <c r="AI359" s="781"/>
      <c r="AJ359" s="781"/>
      <c r="AK359" s="781"/>
      <c r="AL359" s="781"/>
      <c r="AM359" s="781"/>
      <c r="AN359" s="781"/>
      <c r="AO359" s="781"/>
      <c r="AP359" s="781"/>
      <c r="AQ359" s="781"/>
    </row>
    <row r="360" spans="4:43" ht="17.25" customHeight="1" outlineLevel="1">
      <c r="D360" s="1">
        <v>28</v>
      </c>
      <c r="AA360" s="781"/>
      <c r="AB360" s="832" t="s">
        <v>1782</v>
      </c>
      <c r="AC360" s="781"/>
      <c r="AD360" s="781"/>
      <c r="AE360" s="781"/>
      <c r="AF360" s="781"/>
      <c r="AG360" s="781"/>
      <c r="AH360" s="781"/>
      <c r="AI360" s="781"/>
      <c r="AJ360" s="781"/>
      <c r="AK360" s="781"/>
      <c r="AL360" s="781"/>
      <c r="AM360" s="781"/>
      <c r="AN360" s="781"/>
      <c r="AO360" s="781"/>
      <c r="AP360" s="781"/>
      <c r="AQ360" s="781"/>
    </row>
    <row r="361" spans="4:43" ht="15" customHeight="1" outlineLevel="1">
      <c r="D361" s="1">
        <v>24</v>
      </c>
      <c r="AB361" s="832" t="s">
        <v>1783</v>
      </c>
      <c r="AC361" s="781"/>
      <c r="AD361" s="781"/>
      <c r="AE361" s="781"/>
      <c r="AF361" s="781"/>
      <c r="AG361" s="781"/>
      <c r="AH361" s="781"/>
      <c r="AI361" s="781"/>
      <c r="AJ361" s="781"/>
      <c r="AK361" s="781"/>
      <c r="AL361" s="781"/>
      <c r="AM361" s="781"/>
      <c r="AN361" s="781"/>
      <c r="AO361" s="781"/>
      <c r="AP361" s="781"/>
      <c r="AQ361" s="781"/>
    </row>
    <row r="362" spans="4:43" ht="15" customHeight="1" outlineLevel="1">
      <c r="D362" s="1">
        <v>24</v>
      </c>
      <c r="AB362" s="832" t="s">
        <v>1784</v>
      </c>
      <c r="AC362" s="781"/>
      <c r="AD362" s="781"/>
      <c r="AE362" s="781"/>
      <c r="AF362" s="781"/>
      <c r="AG362" s="781"/>
      <c r="AH362" s="781"/>
      <c r="AI362" s="781"/>
      <c r="AJ362" s="781"/>
      <c r="AK362" s="781"/>
      <c r="AL362" s="781"/>
      <c r="AM362" s="781"/>
      <c r="AN362" s="781"/>
      <c r="AO362" s="781"/>
      <c r="AP362" s="781"/>
      <c r="AQ362" s="781"/>
    </row>
    <row r="363" spans="4:43" ht="15" customHeight="1" outlineLevel="1">
      <c r="D363" s="1">
        <v>24</v>
      </c>
      <c r="AB363" s="832" t="s">
        <v>1488</v>
      </c>
      <c r="AC363" s="781"/>
      <c r="AD363" s="781"/>
      <c r="AE363" s="781"/>
      <c r="AF363" s="781"/>
      <c r="AG363" s="781"/>
      <c r="AH363" s="781"/>
      <c r="AI363" s="781"/>
      <c r="AJ363" s="781"/>
      <c r="AK363" s="781"/>
      <c r="AL363" s="781"/>
      <c r="AM363" s="781"/>
      <c r="AN363" s="781"/>
      <c r="AO363" s="781"/>
      <c r="AP363" s="781"/>
      <c r="AQ363" s="781"/>
    </row>
    <row r="364" spans="4:43" ht="15" customHeight="1" outlineLevel="1">
      <c r="D364" s="1">
        <v>24</v>
      </c>
      <c r="AB364" s="832" t="s">
        <v>1785</v>
      </c>
      <c r="AC364" s="781"/>
      <c r="AD364" s="781"/>
      <c r="AE364" s="781"/>
      <c r="AF364" s="781"/>
      <c r="AG364" s="781"/>
      <c r="AH364" s="781"/>
      <c r="AI364" s="781"/>
      <c r="AJ364" s="781"/>
      <c r="AK364" s="781"/>
      <c r="AL364" s="781"/>
      <c r="AM364" s="781"/>
      <c r="AN364" s="781"/>
      <c r="AO364" s="781"/>
      <c r="AP364" s="781"/>
      <c r="AQ364" s="781"/>
    </row>
    <row r="365" spans="4:43" ht="15" customHeight="1" outlineLevel="1">
      <c r="D365" s="1">
        <v>24</v>
      </c>
      <c r="AB365" s="832" t="s">
        <v>1489</v>
      </c>
      <c r="AC365" s="781"/>
      <c r="AD365" s="781"/>
      <c r="AE365" s="781"/>
      <c r="AF365" s="781"/>
      <c r="AG365" s="781"/>
      <c r="AH365" s="781"/>
      <c r="AI365" s="781"/>
      <c r="AJ365" s="781"/>
      <c r="AK365" s="781"/>
      <c r="AL365" s="781"/>
      <c r="AM365" s="781"/>
      <c r="AN365" s="781"/>
      <c r="AO365" s="781"/>
      <c r="AP365" s="781"/>
      <c r="AQ365" s="781"/>
    </row>
    <row r="366" spans="4:43" ht="15" customHeight="1" outlineLevel="1">
      <c r="D366" s="1">
        <v>24</v>
      </c>
      <c r="AB366" s="781"/>
      <c r="AC366" s="781"/>
      <c r="AD366" s="781"/>
      <c r="AE366" s="781"/>
      <c r="AF366" s="781"/>
      <c r="AG366" s="781"/>
      <c r="AH366" s="781"/>
      <c r="AI366" s="781"/>
      <c r="AJ366" s="781"/>
      <c r="AK366" s="781"/>
      <c r="AL366" s="781"/>
      <c r="AM366" s="781"/>
      <c r="AN366" s="781"/>
      <c r="AO366" s="781"/>
      <c r="AP366" s="781"/>
      <c r="AQ366" s="781"/>
    </row>
    <row r="367" spans="4:43" ht="15" customHeight="1" outlineLevel="1">
      <c r="D367" s="1">
        <v>24</v>
      </c>
      <c r="AC367" s="820"/>
      <c r="AD367" s="1101"/>
      <c r="AE367" s="1101"/>
      <c r="AF367" s="1101"/>
      <c r="AG367" s="821"/>
      <c r="AH367" s="156">
        <v>2022</v>
      </c>
      <c r="AI367" s="156" t="s">
        <v>1726</v>
      </c>
      <c r="AJ367" s="1091" t="s">
        <v>941</v>
      </c>
      <c r="AK367" s="1092"/>
      <c r="AL367" s="843" t="s">
        <v>1474</v>
      </c>
      <c r="AM367" s="1093"/>
      <c r="AN367" s="1093"/>
      <c r="AO367" s="1093"/>
      <c r="AP367" s="1093"/>
      <c r="AQ367" s="845"/>
    </row>
    <row r="368" spans="4:43" ht="28.5" customHeight="1" outlineLevel="1">
      <c r="D368" s="1">
        <v>45</v>
      </c>
      <c r="AC368" s="823"/>
      <c r="AD368" s="1102"/>
      <c r="AE368" s="1102"/>
      <c r="AF368" s="1102"/>
      <c r="AG368" s="824"/>
      <c r="AH368" s="156" t="s">
        <v>943</v>
      </c>
      <c r="AI368" s="66" t="s">
        <v>755</v>
      </c>
      <c r="AJ368" s="66" t="s">
        <v>633</v>
      </c>
      <c r="AK368" s="66" t="s">
        <v>1475</v>
      </c>
      <c r="AL368" s="844"/>
      <c r="AM368" s="1094"/>
      <c r="AN368" s="1094"/>
      <c r="AO368" s="1094"/>
      <c r="AP368" s="1094"/>
      <c r="AQ368" s="846"/>
    </row>
    <row r="369" spans="4:43" ht="28.5" customHeight="1" outlineLevel="1">
      <c r="D369" s="1">
        <v>45</v>
      </c>
      <c r="AC369" s="1096" t="s">
        <v>975</v>
      </c>
      <c r="AD369" s="793"/>
      <c r="AE369" s="793"/>
      <c r="AF369" s="1097"/>
      <c r="AG369" s="70" t="s">
        <v>619</v>
      </c>
      <c r="AH369" s="161">
        <v>0</v>
      </c>
      <c r="AI369" s="161">
        <v>0</v>
      </c>
      <c r="AJ369" s="371" t="s">
        <v>549</v>
      </c>
      <c r="AK369" s="161">
        <v>0</v>
      </c>
      <c r="AL369" s="1068"/>
      <c r="AM369" s="1069"/>
      <c r="AN369" s="1069"/>
      <c r="AO369" s="1069"/>
      <c r="AP369" s="1069"/>
      <c r="AQ369" s="1069"/>
    </row>
    <row r="370" spans="4:43" ht="28.5" customHeight="1" outlineLevel="1">
      <c r="D370" s="1">
        <v>45</v>
      </c>
      <c r="AC370" s="834" t="s">
        <v>976</v>
      </c>
      <c r="AD370" s="785"/>
      <c r="AE370" s="785"/>
      <c r="AF370" s="1095"/>
      <c r="AG370" s="66" t="s">
        <v>619</v>
      </c>
      <c r="AH370" s="161">
        <v>0</v>
      </c>
      <c r="AI370" s="161">
        <v>0</v>
      </c>
      <c r="AJ370" s="371" t="s">
        <v>549</v>
      </c>
      <c r="AK370" s="161">
        <v>0</v>
      </c>
      <c r="AL370" s="1068"/>
      <c r="AM370" s="1069"/>
      <c r="AN370" s="1069"/>
      <c r="AO370" s="1069"/>
      <c r="AP370" s="1069"/>
      <c r="AQ370" s="1069"/>
    </row>
    <row r="371" spans="4:43" ht="28.5" customHeight="1" outlineLevel="1">
      <c r="D371" s="1">
        <v>45</v>
      </c>
      <c r="AC371" s="834" t="s">
        <v>977</v>
      </c>
      <c r="AD371" s="785"/>
      <c r="AE371" s="785"/>
      <c r="AF371" s="1095"/>
      <c r="AG371" s="66" t="s">
        <v>619</v>
      </c>
      <c r="AH371" s="161">
        <v>0</v>
      </c>
      <c r="AI371" s="161">
        <v>0</v>
      </c>
      <c r="AJ371" s="371" t="s">
        <v>549</v>
      </c>
      <c r="AK371" s="161">
        <v>0</v>
      </c>
      <c r="AL371" s="1068"/>
      <c r="AM371" s="1069"/>
      <c r="AN371" s="1069"/>
      <c r="AO371" s="1069"/>
      <c r="AP371" s="1069"/>
      <c r="AQ371" s="1069"/>
    </row>
    <row r="372" spans="4:43" ht="28.5" customHeight="1" outlineLevel="1">
      <c r="D372" s="1">
        <v>45</v>
      </c>
      <c r="AC372" s="1098" t="s">
        <v>978</v>
      </c>
      <c r="AD372" s="1099"/>
      <c r="AE372" s="1099"/>
      <c r="AF372" s="1100"/>
      <c r="AG372" s="66" t="s">
        <v>619</v>
      </c>
      <c r="AH372" s="161">
        <v>0</v>
      </c>
      <c r="AI372" s="161">
        <v>0</v>
      </c>
      <c r="AJ372" s="371" t="s">
        <v>549</v>
      </c>
      <c r="AK372" s="161">
        <v>0</v>
      </c>
      <c r="AL372" s="1068"/>
      <c r="AM372" s="1069"/>
      <c r="AN372" s="1069"/>
      <c r="AO372" s="1069"/>
      <c r="AP372" s="1069"/>
      <c r="AQ372" s="1069"/>
    </row>
    <row r="373" spans="4:43" ht="28.5" customHeight="1" outlineLevel="1">
      <c r="D373" s="1">
        <v>45</v>
      </c>
      <c r="AC373" s="834" t="s">
        <v>979</v>
      </c>
      <c r="AD373" s="785"/>
      <c r="AE373" s="785"/>
      <c r="AF373" s="1095"/>
      <c r="AG373" s="66" t="s">
        <v>619</v>
      </c>
      <c r="AH373" s="161">
        <v>0</v>
      </c>
      <c r="AI373" s="161">
        <v>0</v>
      </c>
      <c r="AJ373" s="371" t="s">
        <v>549</v>
      </c>
      <c r="AK373" s="161">
        <v>0</v>
      </c>
      <c r="AL373" s="1068"/>
      <c r="AM373" s="1069"/>
      <c r="AN373" s="1069"/>
      <c r="AO373" s="1069"/>
      <c r="AP373" s="1069"/>
      <c r="AQ373" s="1069"/>
    </row>
    <row r="374" spans="4:43" ht="28.5" customHeight="1" outlineLevel="1">
      <c r="D374" s="1">
        <v>45</v>
      </c>
      <c r="AC374" s="834" t="s">
        <v>980</v>
      </c>
      <c r="AD374" s="785"/>
      <c r="AE374" s="785"/>
      <c r="AF374" s="1095"/>
      <c r="AG374" s="66" t="s">
        <v>619</v>
      </c>
      <c r="AH374" s="161">
        <v>0</v>
      </c>
      <c r="AI374" s="161">
        <v>0</v>
      </c>
      <c r="AJ374" s="371" t="s">
        <v>549</v>
      </c>
      <c r="AK374" s="161">
        <v>0</v>
      </c>
      <c r="AL374" s="1068"/>
      <c r="AM374" s="1069"/>
      <c r="AN374" s="1069"/>
      <c r="AO374" s="1069"/>
      <c r="AP374" s="1069"/>
      <c r="AQ374" s="1069"/>
    </row>
    <row r="375" spans="4:43" ht="28.5" customHeight="1" outlineLevel="1">
      <c r="D375" s="1">
        <v>45</v>
      </c>
      <c r="AC375" s="834" t="s">
        <v>981</v>
      </c>
      <c r="AD375" s="785"/>
      <c r="AE375" s="785"/>
      <c r="AF375" s="1095"/>
      <c r="AG375" s="66" t="s">
        <v>619</v>
      </c>
      <c r="AH375" s="161">
        <v>0</v>
      </c>
      <c r="AI375" s="161">
        <v>0</v>
      </c>
      <c r="AJ375" s="371" t="s">
        <v>549</v>
      </c>
      <c r="AK375" s="161">
        <v>0</v>
      </c>
      <c r="AL375" s="1068"/>
      <c r="AM375" s="1069"/>
      <c r="AN375" s="1069"/>
      <c r="AO375" s="1069"/>
      <c r="AP375" s="1069"/>
      <c r="AQ375" s="1069"/>
    </row>
    <row r="376" spans="4:43" ht="20.25" customHeight="1" outlineLevel="1">
      <c r="D376" s="1">
        <v>32</v>
      </c>
    </row>
    <row r="377" spans="4:43" ht="28.5" customHeight="1" outlineLevel="1">
      <c r="D377" s="1">
        <v>45</v>
      </c>
      <c r="AB377" s="832" t="s">
        <v>1786</v>
      </c>
      <c r="AC377" s="781"/>
      <c r="AD377" s="781"/>
      <c r="AE377" s="781"/>
      <c r="AF377" s="781"/>
      <c r="AG377" s="781"/>
      <c r="AH377" s="781"/>
      <c r="AI377" s="781"/>
      <c r="AJ377" s="781"/>
      <c r="AK377" s="781"/>
      <c r="AL377" s="781"/>
      <c r="AM377" s="781"/>
      <c r="AN377" s="781"/>
      <c r="AO377" s="781"/>
      <c r="AP377" s="781"/>
      <c r="AQ377" s="781"/>
    </row>
    <row r="378" spans="4:43" ht="28.5" customHeight="1" outlineLevel="1">
      <c r="D378" s="1">
        <v>45</v>
      </c>
      <c r="AB378" s="878"/>
      <c r="AC378" s="878"/>
      <c r="AD378" s="878"/>
      <c r="AE378" s="878"/>
      <c r="AF378" s="878"/>
      <c r="AG378" s="878"/>
      <c r="AH378" s="878"/>
      <c r="AI378" s="878"/>
      <c r="AJ378" s="878"/>
      <c r="AK378" s="878"/>
      <c r="AL378" s="878"/>
      <c r="AM378" s="878"/>
      <c r="AN378" s="878"/>
      <c r="AO378" s="878"/>
      <c r="AP378" s="878"/>
      <c r="AQ378" s="878"/>
    </row>
    <row r="379" spans="4:43" ht="28.5" customHeight="1" outlineLevel="1">
      <c r="D379" s="1">
        <v>45</v>
      </c>
      <c r="AB379" s="1038"/>
      <c r="AC379" s="1038"/>
      <c r="AD379" s="1038"/>
      <c r="AE379" s="1038"/>
      <c r="AF379" s="1038"/>
      <c r="AG379" s="1038"/>
      <c r="AH379" s="1038"/>
      <c r="AI379" s="1038"/>
      <c r="AJ379" s="1038"/>
      <c r="AK379" s="1038"/>
      <c r="AL379" s="1038"/>
      <c r="AM379" s="1038"/>
      <c r="AN379" s="1038"/>
      <c r="AO379" s="1038"/>
      <c r="AP379" s="1038"/>
      <c r="AQ379" s="1038"/>
    </row>
    <row r="380" spans="4:43" ht="28.5" hidden="1" customHeight="1">
      <c r="D380" s="1">
        <v>0</v>
      </c>
    </row>
    <row r="381" spans="4:43" ht="28.5" customHeight="1" outlineLevel="1">
      <c r="D381" s="1">
        <v>45</v>
      </c>
      <c r="AB381" s="1080" t="s">
        <v>1490</v>
      </c>
      <c r="AC381" s="781"/>
      <c r="AD381" s="781"/>
      <c r="AE381" s="781"/>
      <c r="AF381" s="781"/>
      <c r="AG381" s="781"/>
      <c r="AH381" s="781"/>
      <c r="AI381" s="781"/>
      <c r="AJ381" s="781"/>
      <c r="AK381" s="781"/>
      <c r="AL381" s="781"/>
      <c r="AM381" s="781"/>
      <c r="AN381" s="781"/>
      <c r="AO381" s="781"/>
      <c r="AP381" s="781"/>
      <c r="AQ381" s="781"/>
    </row>
    <row r="382" spans="4:43" ht="24.75" customHeight="1" outlineLevel="1">
      <c r="D382" s="1">
        <v>40</v>
      </c>
      <c r="AB382" s="832" t="s">
        <v>1491</v>
      </c>
      <c r="AC382" s="781"/>
      <c r="AD382" s="781"/>
      <c r="AE382" s="781"/>
      <c r="AF382" s="781"/>
      <c r="AG382" s="781"/>
      <c r="AH382" s="781"/>
      <c r="AI382" s="781"/>
      <c r="AJ382" s="781"/>
      <c r="AK382" s="781"/>
      <c r="AL382" s="781"/>
      <c r="AM382" s="781"/>
      <c r="AN382" s="781"/>
      <c r="AO382" s="781"/>
      <c r="AP382" s="781"/>
      <c r="AQ382" s="781"/>
    </row>
    <row r="383" spans="4:43" ht="39.75" customHeight="1" outlineLevel="1">
      <c r="D383" s="1">
        <v>64</v>
      </c>
      <c r="AB383" s="832" t="s">
        <v>1787</v>
      </c>
      <c r="AC383" s="781"/>
      <c r="AD383" s="781"/>
      <c r="AE383" s="781"/>
      <c r="AF383" s="781"/>
      <c r="AG383" s="781"/>
      <c r="AH383" s="781"/>
      <c r="AI383" s="781"/>
      <c r="AJ383" s="781"/>
      <c r="AK383" s="781"/>
      <c r="AL383" s="781"/>
      <c r="AM383" s="781"/>
      <c r="AN383" s="781"/>
      <c r="AO383" s="781"/>
      <c r="AP383" s="781"/>
      <c r="AQ383" s="781"/>
    </row>
    <row r="384" spans="4:43" ht="39.75" customHeight="1" outlineLevel="1">
      <c r="D384" s="1">
        <v>64</v>
      </c>
      <c r="AB384" s="832" t="s">
        <v>1788</v>
      </c>
      <c r="AC384" s="781"/>
      <c r="AD384" s="781"/>
      <c r="AE384" s="781"/>
      <c r="AF384" s="781"/>
      <c r="AG384" s="781"/>
      <c r="AH384" s="781"/>
      <c r="AI384" s="781"/>
      <c r="AJ384" s="781"/>
      <c r="AK384" s="781"/>
      <c r="AL384" s="781"/>
      <c r="AM384" s="781"/>
      <c r="AN384" s="781"/>
      <c r="AO384" s="781"/>
      <c r="AP384" s="781"/>
      <c r="AQ384" s="781"/>
    </row>
    <row r="385" spans="4:43" ht="14.25" customHeight="1" outlineLevel="1">
      <c r="D385" s="1">
        <v>23</v>
      </c>
      <c r="AB385" s="832" t="s">
        <v>1789</v>
      </c>
      <c r="AC385" s="781"/>
      <c r="AD385" s="781"/>
      <c r="AE385" s="781"/>
      <c r="AF385" s="781"/>
      <c r="AG385" s="781"/>
      <c r="AH385" s="781"/>
      <c r="AI385" s="781"/>
      <c r="AJ385" s="781"/>
      <c r="AK385" s="781"/>
      <c r="AL385" s="781"/>
      <c r="AM385" s="781"/>
      <c r="AN385" s="781"/>
      <c r="AO385" s="781"/>
      <c r="AP385" s="781"/>
      <c r="AQ385" s="781"/>
    </row>
    <row r="386" spans="4:43" ht="15" customHeight="1" outlineLevel="1">
      <c r="D386" s="1">
        <v>24</v>
      </c>
      <c r="AB386" s="832" t="s">
        <v>1790</v>
      </c>
      <c r="AC386" s="781"/>
      <c r="AD386" s="781"/>
      <c r="AE386" s="781"/>
      <c r="AF386" s="781"/>
      <c r="AG386" s="781"/>
      <c r="AH386" s="781"/>
      <c r="AI386" s="781"/>
      <c r="AJ386" s="781"/>
      <c r="AK386" s="781"/>
      <c r="AL386" s="781"/>
      <c r="AM386" s="781"/>
      <c r="AN386" s="781"/>
      <c r="AO386" s="781"/>
      <c r="AP386" s="781"/>
      <c r="AQ386" s="781"/>
    </row>
    <row r="387" spans="4:43" ht="39.75" customHeight="1" outlineLevel="1">
      <c r="D387" s="1">
        <v>64</v>
      </c>
      <c r="AB387" s="832" t="s">
        <v>1791</v>
      </c>
      <c r="AC387" s="781"/>
      <c r="AD387" s="781"/>
      <c r="AE387" s="781"/>
      <c r="AF387" s="781"/>
      <c r="AG387" s="781"/>
      <c r="AH387" s="781"/>
      <c r="AI387" s="781"/>
      <c r="AJ387" s="781"/>
      <c r="AK387" s="781"/>
      <c r="AL387" s="781"/>
      <c r="AM387" s="781"/>
      <c r="AN387" s="781"/>
      <c r="AO387" s="781"/>
      <c r="AP387" s="781"/>
      <c r="AQ387" s="781"/>
    </row>
    <row r="388" spans="4:43" ht="73.5" customHeight="1" outlineLevel="1">
      <c r="D388" s="1">
        <v>119</v>
      </c>
    </row>
    <row r="389" spans="4:43" ht="75.75" customHeight="1" outlineLevel="1">
      <c r="D389" s="1">
        <v>122</v>
      </c>
      <c r="AB389" s="832" t="s">
        <v>1792</v>
      </c>
      <c r="AC389" s="781"/>
      <c r="AD389" s="781"/>
      <c r="AE389" s="781"/>
      <c r="AF389" s="781"/>
      <c r="AG389" s="781"/>
      <c r="AH389" s="781"/>
      <c r="AI389" s="781"/>
      <c r="AJ389" s="781"/>
      <c r="AK389" s="781"/>
      <c r="AL389" s="781"/>
      <c r="AM389" s="781"/>
      <c r="AN389" s="781"/>
      <c r="AO389" s="781"/>
      <c r="AP389" s="781"/>
      <c r="AQ389" s="781"/>
    </row>
    <row r="390" spans="4:43" ht="17.25" customHeight="1" outlineLevel="1">
      <c r="D390" s="1">
        <v>28</v>
      </c>
      <c r="AB390" s="832" t="s">
        <v>1793</v>
      </c>
      <c r="AC390" s="781"/>
      <c r="AD390" s="781"/>
      <c r="AE390" s="781"/>
      <c r="AF390" s="781"/>
      <c r="AG390" s="781"/>
      <c r="AH390" s="781"/>
      <c r="AI390" s="781"/>
      <c r="AJ390" s="781"/>
      <c r="AK390" s="781"/>
      <c r="AL390" s="781"/>
      <c r="AM390" s="781"/>
      <c r="AN390" s="781"/>
      <c r="AO390" s="781"/>
      <c r="AP390" s="781"/>
      <c r="AQ390" s="781"/>
    </row>
    <row r="391" spans="4:43" ht="17.25" customHeight="1" outlineLevel="1">
      <c r="D391" s="1">
        <v>28</v>
      </c>
      <c r="AB391" s="832" t="s">
        <v>1794</v>
      </c>
      <c r="AC391" s="781"/>
      <c r="AD391" s="781"/>
      <c r="AE391" s="781"/>
      <c r="AF391" s="781"/>
      <c r="AG391" s="781"/>
      <c r="AH391" s="781"/>
      <c r="AI391" s="781"/>
      <c r="AJ391" s="781"/>
      <c r="AK391" s="781"/>
      <c r="AL391" s="781"/>
      <c r="AM391" s="781"/>
      <c r="AN391" s="781"/>
      <c r="AO391" s="781"/>
      <c r="AP391" s="781"/>
      <c r="AQ391" s="781"/>
    </row>
    <row r="392" spans="4:43" ht="17.25" customHeight="1" outlineLevel="1">
      <c r="D392" s="1">
        <v>28</v>
      </c>
      <c r="AB392" s="832" t="s">
        <v>1795</v>
      </c>
      <c r="AC392" s="781"/>
      <c r="AD392" s="781"/>
      <c r="AE392" s="781"/>
      <c r="AF392" s="781"/>
      <c r="AG392" s="781"/>
      <c r="AH392" s="781"/>
      <c r="AI392" s="781"/>
      <c r="AJ392" s="781"/>
      <c r="AK392" s="781"/>
      <c r="AL392" s="781"/>
      <c r="AM392" s="781"/>
      <c r="AN392" s="781"/>
      <c r="AO392" s="781"/>
      <c r="AP392" s="781"/>
      <c r="AQ392" s="781"/>
    </row>
    <row r="393" spans="4:43" ht="17.25" customHeight="1" outlineLevel="1">
      <c r="D393" s="1">
        <v>28</v>
      </c>
      <c r="AB393" s="832" t="s">
        <v>1796</v>
      </c>
      <c r="AC393" s="781"/>
      <c r="AD393" s="781"/>
      <c r="AE393" s="781"/>
      <c r="AF393" s="781"/>
      <c r="AG393" s="781"/>
      <c r="AH393" s="781"/>
      <c r="AI393" s="781"/>
      <c r="AJ393" s="781"/>
      <c r="AK393" s="781"/>
      <c r="AL393" s="781"/>
      <c r="AM393" s="781"/>
      <c r="AN393" s="781"/>
      <c r="AO393" s="781"/>
      <c r="AP393" s="781"/>
      <c r="AQ393" s="781"/>
    </row>
    <row r="394" spans="4:43" ht="17.25" customHeight="1" outlineLevel="1">
      <c r="D394" s="1">
        <v>28</v>
      </c>
      <c r="AB394" s="832" t="s">
        <v>1494</v>
      </c>
      <c r="AC394" s="781"/>
      <c r="AD394" s="781"/>
      <c r="AE394" s="781"/>
      <c r="AF394" s="781"/>
      <c r="AG394" s="781"/>
      <c r="AH394" s="781"/>
      <c r="AI394" s="781"/>
      <c r="AJ394" s="781"/>
      <c r="AK394" s="781"/>
      <c r="AL394" s="781"/>
      <c r="AM394" s="781"/>
      <c r="AN394" s="781"/>
      <c r="AO394" s="781"/>
      <c r="AP394" s="781"/>
      <c r="AQ394" s="781"/>
    </row>
    <row r="395" spans="4:43" ht="17.25" customHeight="1" outlineLevel="1">
      <c r="D395" s="1">
        <v>28</v>
      </c>
      <c r="AB395" s="832" t="s">
        <v>1797</v>
      </c>
      <c r="AC395" s="781"/>
      <c r="AD395" s="781"/>
      <c r="AE395" s="781"/>
      <c r="AF395" s="781"/>
      <c r="AG395" s="781"/>
      <c r="AH395" s="781"/>
      <c r="AI395" s="781"/>
      <c r="AJ395" s="781"/>
      <c r="AK395" s="781"/>
      <c r="AL395" s="781"/>
      <c r="AM395" s="781"/>
      <c r="AN395" s="781"/>
      <c r="AO395" s="781"/>
      <c r="AP395" s="781"/>
      <c r="AQ395" s="781"/>
    </row>
    <row r="396" spans="4:43" ht="17.25" customHeight="1" outlineLevel="1">
      <c r="D396" s="1">
        <v>28</v>
      </c>
      <c r="AB396" s="832" t="s">
        <v>1798</v>
      </c>
      <c r="AC396" s="781"/>
      <c r="AD396" s="781"/>
      <c r="AE396" s="781"/>
      <c r="AF396" s="781"/>
      <c r="AG396" s="781"/>
      <c r="AH396" s="781"/>
      <c r="AI396" s="781"/>
      <c r="AJ396" s="781"/>
      <c r="AK396" s="781"/>
      <c r="AL396" s="781"/>
      <c r="AM396" s="781"/>
      <c r="AN396" s="781"/>
      <c r="AO396" s="781"/>
      <c r="AP396" s="781"/>
      <c r="AQ396" s="781"/>
    </row>
    <row r="397" spans="4:43" ht="27" customHeight="1" outlineLevel="1">
      <c r="D397" s="1">
        <v>44</v>
      </c>
      <c r="AB397" s="832" t="s">
        <v>1799</v>
      </c>
      <c r="AC397" s="781"/>
      <c r="AD397" s="781"/>
      <c r="AE397" s="781"/>
      <c r="AF397" s="781"/>
      <c r="AG397" s="781"/>
      <c r="AH397" s="781"/>
      <c r="AI397" s="781"/>
      <c r="AJ397" s="781"/>
      <c r="AK397" s="781"/>
      <c r="AL397" s="781"/>
      <c r="AM397" s="781"/>
      <c r="AN397" s="781"/>
      <c r="AO397" s="781"/>
      <c r="AP397" s="781"/>
      <c r="AQ397" s="781"/>
    </row>
    <row r="398" spans="4:43" ht="28.5" customHeight="1">
      <c r="D398" s="1">
        <v>45</v>
      </c>
      <c r="AC398" s="798"/>
      <c r="AD398" s="798"/>
      <c r="AE398" s="798"/>
      <c r="AF398" s="798"/>
      <c r="AG398" s="798"/>
      <c r="AH398" s="156" t="s">
        <v>1726</v>
      </c>
      <c r="AI398" s="66">
        <v>2023</v>
      </c>
      <c r="AJ398" s="66">
        <v>2024</v>
      </c>
      <c r="AK398" s="66">
        <v>2025</v>
      </c>
      <c r="AL398" s="66">
        <v>2026</v>
      </c>
    </row>
    <row r="399" spans="4:43" ht="28.5" customHeight="1">
      <c r="D399" s="1">
        <v>45</v>
      </c>
      <c r="AC399" s="797" t="s">
        <v>944</v>
      </c>
      <c r="AD399" s="797"/>
      <c r="AE399" s="797"/>
      <c r="AF399" s="797"/>
      <c r="AG399" s="47" t="s">
        <v>633</v>
      </c>
      <c r="AH399" s="372">
        <v>0</v>
      </c>
      <c r="AI399" s="372">
        <v>0</v>
      </c>
      <c r="AJ399" s="372">
        <v>0</v>
      </c>
      <c r="AK399" s="372">
        <v>0</v>
      </c>
      <c r="AL399" s="372">
        <v>0</v>
      </c>
    </row>
    <row r="400" spans="4:43" ht="28.5" customHeight="1">
      <c r="D400" s="1">
        <v>45</v>
      </c>
      <c r="AC400" s="797" t="s">
        <v>946</v>
      </c>
      <c r="AD400" s="797" t="s">
        <v>633</v>
      </c>
      <c r="AE400" s="797"/>
      <c r="AF400" s="797"/>
      <c r="AG400" s="47" t="s">
        <v>633</v>
      </c>
      <c r="AH400" s="372">
        <v>0</v>
      </c>
      <c r="AI400" s="372">
        <v>0</v>
      </c>
      <c r="AJ400" s="372">
        <v>0</v>
      </c>
      <c r="AK400" s="372">
        <v>0</v>
      </c>
      <c r="AL400" s="372">
        <v>0</v>
      </c>
    </row>
    <row r="401" spans="4:43" ht="28.5" customHeight="1">
      <c r="D401" s="1">
        <v>45</v>
      </c>
      <c r="AC401" s="797" t="s">
        <v>947</v>
      </c>
      <c r="AD401" s="797" t="s">
        <v>696</v>
      </c>
      <c r="AE401" s="797"/>
      <c r="AF401" s="797"/>
      <c r="AG401" s="47" t="s">
        <v>696</v>
      </c>
      <c r="AH401" s="161">
        <v>0</v>
      </c>
      <c r="AI401" s="161">
        <v>0</v>
      </c>
      <c r="AJ401" s="161">
        <v>0</v>
      </c>
      <c r="AK401" s="161">
        <v>0</v>
      </c>
      <c r="AL401" s="161">
        <v>0</v>
      </c>
    </row>
    <row r="402" spans="4:43" ht="28.5" customHeight="1">
      <c r="D402" s="1">
        <v>45</v>
      </c>
      <c r="AC402" s="797" t="s">
        <v>949</v>
      </c>
      <c r="AD402" s="797" t="s">
        <v>633</v>
      </c>
      <c r="AE402" s="797"/>
      <c r="AF402" s="797"/>
      <c r="AG402" s="47" t="s">
        <v>633</v>
      </c>
      <c r="AH402" s="372">
        <v>0</v>
      </c>
      <c r="AI402" s="372">
        <v>0</v>
      </c>
      <c r="AJ402" s="372">
        <v>0</v>
      </c>
      <c r="AK402" s="372">
        <v>0</v>
      </c>
      <c r="AL402" s="372">
        <v>0</v>
      </c>
    </row>
    <row r="403" spans="4:43" ht="28.5" customHeight="1">
      <c r="D403" s="1">
        <v>45</v>
      </c>
      <c r="AC403" s="797" t="s">
        <v>950</v>
      </c>
      <c r="AD403" s="797"/>
      <c r="AE403" s="797"/>
      <c r="AF403" s="797"/>
      <c r="AG403" s="47"/>
      <c r="AH403" s="161">
        <v>0</v>
      </c>
      <c r="AI403" s="161">
        <v>0.75</v>
      </c>
      <c r="AJ403" s="161">
        <v>0.75</v>
      </c>
      <c r="AK403" s="161">
        <v>0.75</v>
      </c>
      <c r="AL403" s="161">
        <v>0.75</v>
      </c>
    </row>
    <row r="404" spans="4:43" ht="28.5" customHeight="1">
      <c r="D404" s="1">
        <v>45</v>
      </c>
      <c r="AC404" s="797" t="s">
        <v>951</v>
      </c>
      <c r="AD404" s="797"/>
      <c r="AE404" s="797"/>
      <c r="AF404" s="797"/>
      <c r="AG404" s="47"/>
      <c r="AH404" s="373">
        <v>1</v>
      </c>
      <c r="AI404" s="373">
        <v>1</v>
      </c>
      <c r="AJ404" s="373">
        <v>1</v>
      </c>
      <c r="AK404" s="373">
        <v>1</v>
      </c>
      <c r="AL404" s="373">
        <v>1</v>
      </c>
    </row>
    <row r="405" spans="4:43" ht="28.5" customHeight="1">
      <c r="D405" s="1">
        <v>45</v>
      </c>
      <c r="AC405" s="797" t="s">
        <v>984</v>
      </c>
      <c r="AD405" s="797" t="s">
        <v>984</v>
      </c>
      <c r="AE405" s="797"/>
      <c r="AF405" s="797"/>
      <c r="AG405" s="66" t="s">
        <v>619</v>
      </c>
      <c r="AH405" s="161">
        <v>0</v>
      </c>
      <c r="AI405" s="161">
        <v>0</v>
      </c>
      <c r="AJ405" s="161">
        <v>0</v>
      </c>
      <c r="AK405" s="161">
        <v>0</v>
      </c>
      <c r="AL405" s="161">
        <v>0</v>
      </c>
    </row>
    <row r="406" spans="4:43" ht="28.5" customHeight="1">
      <c r="D406" s="1">
        <v>45</v>
      </c>
    </row>
    <row r="407" spans="4:43" ht="14.25" customHeight="1">
      <c r="D407" s="1">
        <v>23</v>
      </c>
      <c r="AB407" s="1078" t="s">
        <v>1495</v>
      </c>
      <c r="AC407" s="781"/>
      <c r="AD407" s="781"/>
      <c r="AE407" s="781"/>
      <c r="AF407" s="781"/>
      <c r="AG407" s="781"/>
      <c r="AH407" s="781"/>
      <c r="AI407" s="781"/>
      <c r="AJ407" s="781"/>
      <c r="AK407" s="781"/>
      <c r="AL407" s="781"/>
      <c r="AM407" s="781"/>
      <c r="AN407" s="781"/>
      <c r="AO407" s="781"/>
      <c r="AP407" s="781"/>
      <c r="AQ407" s="781"/>
    </row>
    <row r="408" spans="4:43" ht="12.75" customHeight="1">
      <c r="D408" s="1">
        <v>21</v>
      </c>
    </row>
    <row r="409" spans="4:43" ht="16.5" customHeight="1">
      <c r="D409" s="1">
        <v>26</v>
      </c>
      <c r="AB409" s="832" t="s">
        <v>1800</v>
      </c>
      <c r="AC409" s="781"/>
      <c r="AD409" s="781"/>
      <c r="AE409" s="781"/>
      <c r="AF409" s="781"/>
      <c r="AG409" s="781"/>
      <c r="AH409" s="781"/>
      <c r="AI409" s="781"/>
      <c r="AJ409" s="781"/>
      <c r="AK409" s="781"/>
      <c r="AL409" s="781"/>
      <c r="AM409" s="781"/>
      <c r="AN409" s="781"/>
      <c r="AO409" s="781"/>
      <c r="AP409" s="781"/>
      <c r="AQ409" s="781"/>
    </row>
    <row r="410" spans="4:43" ht="18.75" customHeight="1">
      <c r="D410" s="1">
        <v>31</v>
      </c>
    </row>
    <row r="411" spans="4:43" ht="15.75" customHeight="1" outlineLevel="1">
      <c r="D411" s="1">
        <v>26</v>
      </c>
      <c r="AA411" s="781"/>
      <c r="AB411" s="1080" t="s">
        <v>1510</v>
      </c>
      <c r="AC411" s="781"/>
      <c r="AD411" s="781"/>
      <c r="AE411" s="781"/>
      <c r="AF411" s="781"/>
      <c r="AG411" s="781"/>
      <c r="AH411" s="781"/>
      <c r="AI411" s="781"/>
      <c r="AJ411" s="781"/>
      <c r="AK411" s="781"/>
      <c r="AL411" s="781"/>
      <c r="AM411" s="781"/>
      <c r="AN411" s="781"/>
      <c r="AO411" s="781"/>
      <c r="AP411" s="781"/>
      <c r="AQ411" s="781"/>
    </row>
    <row r="412" spans="4:43" ht="32.25" customHeight="1" outlineLevel="1">
      <c r="D412" s="1">
        <v>52</v>
      </c>
      <c r="AA412" s="781"/>
      <c r="AB412" s="832" t="s">
        <v>1801</v>
      </c>
      <c r="AC412" s="781"/>
      <c r="AD412" s="781"/>
      <c r="AE412" s="781"/>
      <c r="AF412" s="781"/>
      <c r="AG412" s="781"/>
      <c r="AH412" s="781"/>
      <c r="AI412" s="781"/>
      <c r="AJ412" s="781"/>
      <c r="AK412" s="781"/>
      <c r="AL412" s="781"/>
      <c r="AM412" s="781"/>
      <c r="AN412" s="781"/>
      <c r="AO412" s="781"/>
      <c r="AP412" s="781"/>
      <c r="AQ412" s="781"/>
    </row>
    <row r="413" spans="4:43" ht="32.25" customHeight="1" outlineLevel="1">
      <c r="D413" s="1">
        <v>52</v>
      </c>
      <c r="AB413" s="832" t="s">
        <v>1802</v>
      </c>
      <c r="AC413" s="781"/>
      <c r="AD413" s="781"/>
      <c r="AE413" s="781"/>
      <c r="AF413" s="781"/>
      <c r="AG413" s="781"/>
      <c r="AH413" s="781"/>
      <c r="AI413" s="781"/>
      <c r="AJ413" s="781"/>
      <c r="AK413" s="781"/>
      <c r="AL413" s="781"/>
      <c r="AM413" s="781"/>
      <c r="AN413" s="781"/>
      <c r="AO413" s="781"/>
      <c r="AP413" s="781"/>
      <c r="AQ413" s="781"/>
    </row>
    <row r="414" spans="4:43" ht="32.25" customHeight="1" outlineLevel="1">
      <c r="D414" s="1">
        <v>52</v>
      </c>
      <c r="AB414" s="832" t="s">
        <v>1512</v>
      </c>
      <c r="AC414" s="781"/>
      <c r="AD414" s="781"/>
      <c r="AE414" s="781"/>
      <c r="AF414" s="781"/>
      <c r="AG414" s="781"/>
      <c r="AH414" s="781"/>
      <c r="AI414" s="781"/>
      <c r="AJ414" s="781"/>
      <c r="AK414" s="781"/>
      <c r="AL414" s="781"/>
      <c r="AM414" s="781"/>
      <c r="AN414" s="781"/>
      <c r="AO414" s="781"/>
      <c r="AP414" s="781"/>
      <c r="AQ414" s="781"/>
    </row>
    <row r="415" spans="4:43" ht="28.5" customHeight="1" outlineLevel="1">
      <c r="D415" s="1">
        <v>45</v>
      </c>
      <c r="AB415" s="832" t="s">
        <v>1803</v>
      </c>
      <c r="AC415" s="781"/>
      <c r="AD415" s="781"/>
      <c r="AE415" s="781"/>
      <c r="AF415" s="781"/>
      <c r="AG415" s="781"/>
      <c r="AH415" s="781"/>
      <c r="AI415" s="781"/>
      <c r="AJ415" s="781"/>
      <c r="AK415" s="781"/>
      <c r="AL415" s="781"/>
      <c r="AM415" s="781"/>
      <c r="AN415" s="781"/>
      <c r="AO415" s="781"/>
      <c r="AP415" s="781"/>
      <c r="AQ415" s="781"/>
    </row>
    <row r="416" spans="4:43" ht="28.5" customHeight="1" outlineLevel="1">
      <c r="D416" s="1">
        <v>45</v>
      </c>
      <c r="AB416" s="878"/>
      <c r="AC416" s="878"/>
      <c r="AD416" s="878"/>
      <c r="AE416" s="878"/>
      <c r="AF416" s="878"/>
      <c r="AG416" s="878"/>
      <c r="AH416" s="878"/>
      <c r="AI416" s="878"/>
      <c r="AJ416" s="878"/>
      <c r="AK416" s="878"/>
      <c r="AL416" s="878"/>
      <c r="AM416" s="878"/>
      <c r="AN416" s="878"/>
      <c r="AO416" s="878"/>
      <c r="AP416" s="878"/>
      <c r="AQ416" s="878"/>
    </row>
    <row r="417" spans="4:43" ht="28.5" customHeight="1" outlineLevel="1">
      <c r="D417" s="1">
        <v>45</v>
      </c>
      <c r="AB417" s="1038"/>
      <c r="AC417" s="1038"/>
      <c r="AD417" s="1038"/>
      <c r="AE417" s="1038"/>
      <c r="AF417" s="1038"/>
      <c r="AG417" s="1038"/>
      <c r="AH417" s="1038"/>
      <c r="AI417" s="1038"/>
      <c r="AJ417" s="1038"/>
      <c r="AK417" s="1038"/>
      <c r="AL417" s="1038"/>
      <c r="AM417" s="1038"/>
      <c r="AN417" s="1038"/>
      <c r="AO417" s="1038"/>
      <c r="AP417" s="1038"/>
      <c r="AQ417" s="1038"/>
    </row>
    <row r="418" spans="4:43" ht="28.5" customHeight="1" outlineLevel="1">
      <c r="D418" s="1">
        <v>45</v>
      </c>
      <c r="AB418" s="832" t="s">
        <v>1804</v>
      </c>
      <c r="AC418" s="781"/>
      <c r="AD418" s="781"/>
      <c r="AE418" s="781"/>
      <c r="AF418" s="781"/>
      <c r="AG418" s="781"/>
      <c r="AH418" s="781"/>
      <c r="AI418" s="781"/>
      <c r="AJ418" s="781"/>
      <c r="AK418" s="781"/>
      <c r="AL418" s="781"/>
      <c r="AM418" s="781"/>
      <c r="AN418" s="781"/>
      <c r="AO418" s="781"/>
      <c r="AP418" s="781"/>
      <c r="AQ418" s="781"/>
    </row>
    <row r="419" spans="4:43" ht="28.5" customHeight="1" outlineLevel="1">
      <c r="D419" s="1">
        <v>45</v>
      </c>
      <c r="AB419" s="878"/>
      <c r="AC419" s="878"/>
      <c r="AD419" s="878"/>
      <c r="AE419" s="878"/>
      <c r="AF419" s="878"/>
      <c r="AG419" s="878"/>
      <c r="AH419" s="878"/>
      <c r="AI419" s="878"/>
      <c r="AJ419" s="878"/>
      <c r="AK419" s="878"/>
      <c r="AL419" s="878"/>
      <c r="AM419" s="878"/>
      <c r="AN419" s="878"/>
      <c r="AO419" s="878"/>
      <c r="AP419" s="878"/>
      <c r="AQ419" s="878"/>
    </row>
    <row r="420" spans="4:43" ht="28.5" customHeight="1" outlineLevel="1">
      <c r="D420" s="1">
        <v>45</v>
      </c>
      <c r="AB420" s="1038"/>
      <c r="AC420" s="1038"/>
      <c r="AD420" s="1038"/>
      <c r="AE420" s="1038"/>
      <c r="AF420" s="1038"/>
      <c r="AG420" s="1038"/>
      <c r="AH420" s="1038"/>
      <c r="AI420" s="1038"/>
      <c r="AJ420" s="1038"/>
      <c r="AK420" s="1038"/>
      <c r="AL420" s="1038"/>
      <c r="AM420" s="1038"/>
      <c r="AN420" s="1038"/>
      <c r="AO420" s="1038"/>
      <c r="AP420" s="1038"/>
      <c r="AQ420" s="1038"/>
    </row>
    <row r="421" spans="4:43" ht="28.5" customHeight="1" outlineLevel="1">
      <c r="D421" s="1">
        <v>45</v>
      </c>
      <c r="AB421" s="832" t="s">
        <v>1805</v>
      </c>
      <c r="AC421" s="781"/>
      <c r="AD421" s="781"/>
      <c r="AE421" s="781"/>
      <c r="AF421" s="781"/>
      <c r="AG421" s="781"/>
      <c r="AH421" s="781"/>
      <c r="AI421" s="781"/>
      <c r="AJ421" s="781"/>
      <c r="AK421" s="781"/>
      <c r="AL421" s="781"/>
      <c r="AM421" s="781"/>
      <c r="AN421" s="781"/>
      <c r="AO421" s="781"/>
      <c r="AP421" s="781"/>
      <c r="AQ421" s="781"/>
    </row>
    <row r="422" spans="4:43" ht="28.5" customHeight="1" outlineLevel="1">
      <c r="D422" s="1">
        <v>45</v>
      </c>
      <c r="AB422" s="832" t="s">
        <v>1806</v>
      </c>
      <c r="AC422" s="781"/>
      <c r="AD422" s="781"/>
      <c r="AE422" s="781"/>
      <c r="AF422" s="781"/>
      <c r="AG422" s="781"/>
      <c r="AH422" s="781"/>
      <c r="AI422" s="781"/>
      <c r="AJ422" s="781"/>
      <c r="AK422" s="781"/>
      <c r="AL422" s="781"/>
      <c r="AM422" s="781"/>
      <c r="AN422" s="781"/>
      <c r="AO422" s="781"/>
      <c r="AP422" s="781"/>
      <c r="AQ422" s="781"/>
    </row>
    <row r="423" spans="4:43" ht="15.75" customHeight="1" outlineLevel="1">
      <c r="D423" s="1">
        <v>26</v>
      </c>
      <c r="AB423" s="832" t="s">
        <v>1807</v>
      </c>
      <c r="AC423" s="781"/>
      <c r="AD423" s="781"/>
      <c r="AE423" s="781"/>
      <c r="AF423" s="781"/>
      <c r="AG423" s="781"/>
      <c r="AH423" s="781"/>
      <c r="AI423" s="781"/>
      <c r="AJ423" s="781"/>
      <c r="AK423" s="781"/>
      <c r="AL423" s="781"/>
      <c r="AM423" s="781"/>
      <c r="AN423" s="781"/>
      <c r="AO423" s="781"/>
      <c r="AP423" s="781"/>
      <c r="AQ423" s="781"/>
    </row>
    <row r="424" spans="4:43" ht="18" customHeight="1" outlineLevel="1">
      <c r="D424" s="1">
        <v>29</v>
      </c>
      <c r="AB424" s="880" t="s">
        <v>1513</v>
      </c>
      <c r="AC424" s="781"/>
      <c r="AD424" s="781"/>
      <c r="AE424" s="369"/>
      <c r="AG424" s="832" t="s">
        <v>1808</v>
      </c>
      <c r="AH424" s="781"/>
      <c r="AI424" s="781"/>
      <c r="AJ424" s="781"/>
      <c r="AK424" s="781"/>
      <c r="AL424" s="781"/>
      <c r="AM424" s="781"/>
      <c r="AN424" s="781"/>
      <c r="AO424" s="781"/>
      <c r="AP424" s="781"/>
      <c r="AQ424" s="781"/>
    </row>
    <row r="425" spans="4:43" ht="28.5" customHeight="1" outlineLevel="1">
      <c r="D425" s="1">
        <v>45</v>
      </c>
      <c r="AB425" s="832" t="s">
        <v>1809</v>
      </c>
      <c r="AC425" s="781"/>
      <c r="AD425" s="781"/>
      <c r="AE425" s="781"/>
      <c r="AF425" s="781"/>
      <c r="AG425" s="781"/>
      <c r="AH425" s="781"/>
      <c r="AI425" s="781"/>
      <c r="AJ425" s="781"/>
      <c r="AK425" s="781"/>
      <c r="AL425" s="781"/>
      <c r="AM425" s="781"/>
      <c r="AN425" s="781"/>
      <c r="AO425" s="781"/>
      <c r="AP425" s="781"/>
      <c r="AQ425" s="781"/>
    </row>
    <row r="426" spans="4:43" ht="18" customHeight="1" outlineLevel="1">
      <c r="D426" s="1">
        <v>29</v>
      </c>
      <c r="AB426" s="880" t="s">
        <v>1513</v>
      </c>
      <c r="AC426" s="781"/>
      <c r="AD426" s="781"/>
      <c r="AE426" s="369"/>
      <c r="AG426" s="832" t="s">
        <v>1808</v>
      </c>
      <c r="AH426" s="781"/>
      <c r="AI426" s="781"/>
      <c r="AJ426" s="781"/>
      <c r="AK426" s="781"/>
      <c r="AL426" s="781"/>
      <c r="AM426" s="781"/>
      <c r="AN426" s="781"/>
      <c r="AO426" s="781"/>
      <c r="AP426" s="781"/>
      <c r="AQ426" s="781"/>
    </row>
    <row r="427" spans="4:43" ht="35.25" customHeight="1" outlineLevel="1">
      <c r="D427" s="1">
        <v>56</v>
      </c>
      <c r="AB427" s="832" t="s">
        <v>1810</v>
      </c>
      <c r="AC427" s="781"/>
      <c r="AD427" s="781"/>
      <c r="AE427" s="781"/>
      <c r="AF427" s="781"/>
      <c r="AG427" s="781"/>
      <c r="AH427" s="781"/>
      <c r="AI427" s="781"/>
      <c r="AJ427" s="781"/>
      <c r="AK427" s="781"/>
      <c r="AL427" s="781"/>
      <c r="AM427" s="781"/>
      <c r="AN427" s="781"/>
      <c r="AO427" s="781"/>
      <c r="AP427" s="781"/>
      <c r="AQ427" s="781"/>
    </row>
    <row r="428" spans="4:43" ht="28.5" customHeight="1" outlineLevel="1">
      <c r="D428" s="1">
        <v>45</v>
      </c>
      <c r="AB428" s="832" t="s">
        <v>1811</v>
      </c>
      <c r="AC428" s="781"/>
      <c r="AD428" s="781"/>
      <c r="AE428" s="781"/>
      <c r="AF428" s="781"/>
      <c r="AG428" s="781"/>
      <c r="AH428" s="781"/>
      <c r="AI428" s="781"/>
      <c r="AJ428" s="781"/>
      <c r="AK428" s="781"/>
      <c r="AL428" s="781"/>
      <c r="AM428" s="781"/>
      <c r="AN428" s="781"/>
      <c r="AO428" s="781"/>
      <c r="AP428" s="781"/>
      <c r="AQ428" s="781"/>
    </row>
    <row r="429" spans="4:43" ht="16.5" customHeight="1" outlineLevel="1">
      <c r="D429" s="1">
        <v>26</v>
      </c>
      <c r="AB429" s="1080" t="s">
        <v>1516</v>
      </c>
      <c r="AC429" s="781"/>
      <c r="AD429" s="781"/>
      <c r="AE429" s="781"/>
      <c r="AF429" s="781"/>
      <c r="AG429" s="781"/>
      <c r="AH429" s="781"/>
      <c r="AI429" s="781"/>
      <c r="AJ429" s="781"/>
      <c r="AK429" s="781"/>
      <c r="AL429" s="781"/>
      <c r="AM429" s="781"/>
      <c r="AN429" s="781"/>
      <c r="AO429" s="781"/>
      <c r="AP429" s="781"/>
      <c r="AQ429" s="781"/>
    </row>
    <row r="430" spans="4:43" ht="28.5" customHeight="1" outlineLevel="1">
      <c r="D430" s="1">
        <v>45</v>
      </c>
      <c r="AB430" s="832" t="s">
        <v>1812</v>
      </c>
      <c r="AC430" s="781"/>
      <c r="AD430" s="781"/>
      <c r="AE430" s="781"/>
      <c r="AF430" s="781"/>
      <c r="AG430" s="781"/>
      <c r="AH430" s="781"/>
      <c r="AI430" s="781"/>
      <c r="AJ430" s="781"/>
      <c r="AK430" s="781"/>
      <c r="AL430" s="781"/>
      <c r="AM430" s="781"/>
      <c r="AN430" s="781"/>
      <c r="AO430" s="781"/>
      <c r="AP430" s="781"/>
      <c r="AQ430" s="781"/>
    </row>
    <row r="431" spans="4:43" ht="15.75" customHeight="1" outlineLevel="1">
      <c r="D431" s="1">
        <v>26</v>
      </c>
      <c r="AB431" s="832" t="s">
        <v>1813</v>
      </c>
      <c r="AC431" s="781"/>
      <c r="AD431" s="781"/>
      <c r="AE431" s="781"/>
      <c r="AF431" s="781"/>
      <c r="AG431" s="781"/>
      <c r="AH431" s="781"/>
      <c r="AI431" s="781"/>
      <c r="AJ431" s="781"/>
      <c r="AK431" s="781"/>
      <c r="AL431" s="781"/>
      <c r="AM431" s="781"/>
      <c r="AN431" s="781"/>
      <c r="AO431" s="781"/>
      <c r="AP431" s="781"/>
      <c r="AQ431" s="781"/>
    </row>
    <row r="432" spans="4:43" ht="28.5" customHeight="1" outlineLevel="1">
      <c r="D432" s="1">
        <v>45</v>
      </c>
      <c r="AB432" s="878"/>
      <c r="AC432" s="878"/>
      <c r="AD432" s="878"/>
      <c r="AE432" s="878"/>
      <c r="AF432" s="878"/>
      <c r="AG432" s="878"/>
      <c r="AH432" s="878"/>
      <c r="AI432" s="878"/>
      <c r="AJ432" s="878"/>
      <c r="AK432" s="878"/>
      <c r="AL432" s="878"/>
      <c r="AM432" s="878"/>
      <c r="AN432" s="878"/>
      <c r="AO432" s="878"/>
      <c r="AP432" s="878"/>
      <c r="AQ432" s="878"/>
    </row>
    <row r="433" spans="4:45" ht="18" customHeight="1" outlineLevel="1">
      <c r="D433" s="1">
        <v>29</v>
      </c>
      <c r="AB433" s="832" t="s">
        <v>1517</v>
      </c>
      <c r="AC433" s="781"/>
      <c r="AD433" s="781"/>
      <c r="AE433" s="781"/>
      <c r="AF433" s="781"/>
      <c r="AG433" s="781"/>
      <c r="AI433" s="369"/>
    </row>
    <row r="434" spans="4:45" ht="28.5" customHeight="1" outlineLevel="1">
      <c r="D434" s="1">
        <v>45</v>
      </c>
      <c r="AB434" s="832" t="s">
        <v>1814</v>
      </c>
      <c r="AC434" s="781"/>
      <c r="AD434" s="781"/>
      <c r="AE434" s="781"/>
      <c r="AF434" s="781"/>
      <c r="AG434" s="781"/>
      <c r="AH434" s="781"/>
      <c r="AI434" s="781"/>
      <c r="AJ434" s="781"/>
      <c r="AK434" s="781"/>
      <c r="AL434" s="781"/>
      <c r="AM434" s="781"/>
      <c r="AN434" s="781"/>
      <c r="AO434" s="781"/>
      <c r="AP434" s="781"/>
      <c r="AQ434" s="781"/>
    </row>
    <row r="435" spans="4:45" ht="28.5" customHeight="1" outlineLevel="1">
      <c r="D435" s="1">
        <v>45</v>
      </c>
      <c r="AB435" s="832" t="s">
        <v>1815</v>
      </c>
      <c r="AC435" s="781"/>
      <c r="AD435" s="781"/>
      <c r="AE435" s="781"/>
      <c r="AF435" s="781"/>
      <c r="AG435" s="781"/>
      <c r="AH435" s="781"/>
      <c r="AI435" s="781"/>
      <c r="AJ435" s="781"/>
      <c r="AK435" s="781"/>
      <c r="AL435" s="781"/>
      <c r="AM435" s="781"/>
      <c r="AN435" s="781"/>
      <c r="AO435" s="781"/>
      <c r="AP435" s="781"/>
      <c r="AQ435" s="781"/>
    </row>
    <row r="436" spans="4:45" ht="28.5" customHeight="1">
      <c r="D436" s="1">
        <v>45</v>
      </c>
      <c r="AB436" s="781"/>
      <c r="AC436" s="781"/>
      <c r="AD436" s="781"/>
      <c r="AE436" s="781"/>
      <c r="AF436" s="781"/>
      <c r="AG436" s="781"/>
      <c r="AH436" s="781"/>
      <c r="AI436" s="781"/>
      <c r="AJ436" s="781"/>
      <c r="AK436" s="781"/>
      <c r="AL436" s="781"/>
      <c r="AM436" s="781"/>
      <c r="AN436" s="781"/>
      <c r="AO436" s="781"/>
      <c r="AP436" s="781"/>
      <c r="AQ436" s="781"/>
    </row>
    <row r="437" spans="4:45" ht="16.5" customHeight="1" outlineLevel="1">
      <c r="D437" s="1">
        <v>26</v>
      </c>
      <c r="AA437" s="781"/>
      <c r="AB437" s="1080" t="s">
        <v>1518</v>
      </c>
      <c r="AC437" s="781"/>
      <c r="AD437" s="781"/>
      <c r="AE437" s="781"/>
      <c r="AF437" s="781"/>
      <c r="AG437" s="781"/>
      <c r="AH437" s="781"/>
      <c r="AI437" s="781"/>
      <c r="AJ437" s="781"/>
      <c r="AK437" s="781"/>
      <c r="AL437" s="781"/>
      <c r="AM437" s="781"/>
      <c r="AN437" s="781"/>
      <c r="AO437" s="781"/>
      <c r="AP437" s="781"/>
      <c r="AQ437" s="781"/>
    </row>
    <row r="438" spans="4:45" ht="28.5" customHeight="1" outlineLevel="1">
      <c r="D438" s="1">
        <v>45</v>
      </c>
      <c r="AA438" s="781"/>
      <c r="AB438" s="832" t="s">
        <v>1816</v>
      </c>
      <c r="AC438" s="781"/>
      <c r="AD438" s="781"/>
      <c r="AE438" s="781"/>
      <c r="AF438" s="781"/>
      <c r="AG438" s="781"/>
      <c r="AH438" s="781"/>
      <c r="AI438" s="781"/>
      <c r="AJ438" s="781"/>
      <c r="AK438" s="781"/>
      <c r="AL438" s="781"/>
      <c r="AM438" s="781"/>
      <c r="AN438" s="781"/>
      <c r="AO438" s="781"/>
      <c r="AP438" s="781"/>
      <c r="AQ438" s="781"/>
    </row>
    <row r="439" spans="4:45" ht="16.5" customHeight="1" outlineLevel="1">
      <c r="D439" s="1">
        <v>26</v>
      </c>
      <c r="AB439" s="832" t="s">
        <v>1817</v>
      </c>
      <c r="AC439" s="781"/>
      <c r="AD439" s="781"/>
      <c r="AE439" s="781"/>
      <c r="AF439" s="781"/>
      <c r="AG439" s="781"/>
      <c r="AH439" s="781"/>
      <c r="AI439" s="781"/>
      <c r="AJ439" s="781"/>
      <c r="AK439" s="781"/>
      <c r="AL439" s="781"/>
      <c r="AM439" s="781"/>
      <c r="AN439" s="781"/>
      <c r="AO439" s="781"/>
      <c r="AP439" s="781"/>
      <c r="AQ439" s="781"/>
    </row>
    <row r="440" spans="4:45" ht="41.25" customHeight="1" outlineLevel="1">
      <c r="D440" s="1">
        <v>66</v>
      </c>
      <c r="AB440" s="832" t="s">
        <v>1818</v>
      </c>
      <c r="AC440" s="781"/>
      <c r="AD440" s="781"/>
      <c r="AE440" s="781"/>
      <c r="AF440" s="781"/>
      <c r="AG440" s="781"/>
      <c r="AH440" s="781"/>
      <c r="AI440" s="781"/>
      <c r="AJ440" s="781"/>
      <c r="AK440" s="781"/>
      <c r="AL440" s="781"/>
      <c r="AM440" s="781"/>
      <c r="AN440" s="781"/>
      <c r="AO440" s="781"/>
      <c r="AP440" s="781"/>
      <c r="AQ440" s="781"/>
    </row>
    <row r="441" spans="4:45" ht="18" customHeight="1" outlineLevel="1">
      <c r="D441" s="1">
        <v>29</v>
      </c>
      <c r="AB441" s="832" t="s">
        <v>1819</v>
      </c>
      <c r="AC441" s="781"/>
      <c r="AD441" s="781"/>
      <c r="AE441" s="781"/>
      <c r="AF441" s="781"/>
      <c r="AG441" s="781"/>
      <c r="AH441" s="369"/>
      <c r="AI441" s="832" t="s">
        <v>1520</v>
      </c>
      <c r="AJ441" s="781"/>
      <c r="AK441" s="781"/>
      <c r="AL441" s="781"/>
      <c r="AM441" s="781"/>
      <c r="AN441" s="781"/>
      <c r="AO441" s="781"/>
      <c r="AP441" s="781"/>
      <c r="AQ441" s="781"/>
      <c r="AR441" s="781"/>
      <c r="AS441" s="781"/>
    </row>
    <row r="442" spans="4:45" ht="18" customHeight="1" outlineLevel="1">
      <c r="D442" s="1">
        <v>29</v>
      </c>
      <c r="AB442" s="832" t="s">
        <v>1521</v>
      </c>
      <c r="AC442" s="781"/>
      <c r="AD442" s="781"/>
      <c r="AE442" s="781"/>
      <c r="AF442" s="781"/>
      <c r="AG442" s="781"/>
      <c r="AH442" s="369"/>
      <c r="AI442" s="832" t="s">
        <v>1522</v>
      </c>
      <c r="AJ442" s="781"/>
      <c r="AK442" s="781"/>
      <c r="AL442" s="781"/>
      <c r="AM442" s="781"/>
      <c r="AN442" s="781"/>
      <c r="AO442" s="781"/>
      <c r="AP442" s="781"/>
      <c r="AQ442" s="781"/>
      <c r="AR442" s="781"/>
      <c r="AS442" s="781"/>
    </row>
    <row r="443" spans="4:45" ht="28.5" customHeight="1" outlineLevel="1">
      <c r="D443" s="1">
        <v>45</v>
      </c>
      <c r="AB443" s="832" t="s">
        <v>1523</v>
      </c>
      <c r="AC443" s="781"/>
      <c r="AD443" s="781"/>
      <c r="AE443" s="781"/>
      <c r="AF443" s="781"/>
      <c r="AG443" s="781"/>
      <c r="AH443" s="781"/>
      <c r="AI443" s="781"/>
      <c r="AJ443" s="781"/>
      <c r="AK443" s="781"/>
      <c r="AL443" s="781"/>
      <c r="AM443" s="781"/>
      <c r="AN443" s="781"/>
      <c r="AO443" s="781"/>
      <c r="AP443" s="781"/>
      <c r="AQ443" s="781"/>
    </row>
    <row r="444" spans="4:45" ht="28.5" customHeight="1" outlineLevel="1">
      <c r="D444" s="1">
        <v>45</v>
      </c>
      <c r="AB444" s="832">
        <v>0</v>
      </c>
      <c r="AC444" s="781"/>
      <c r="AD444" s="781"/>
      <c r="AE444" s="781"/>
      <c r="AF444" s="781"/>
      <c r="AG444" s="781"/>
      <c r="AH444" s="781"/>
      <c r="AI444" s="781"/>
      <c r="AJ444" s="781"/>
      <c r="AK444" s="781"/>
      <c r="AL444" s="781"/>
      <c r="AM444" s="781"/>
      <c r="AN444" s="781"/>
      <c r="AO444" s="781"/>
      <c r="AP444" s="781"/>
      <c r="AQ444" s="781"/>
    </row>
    <row r="445" spans="4:45" ht="36" customHeight="1" outlineLevel="1">
      <c r="D445" s="1">
        <v>58</v>
      </c>
      <c r="AB445" s="832" t="s">
        <v>1820</v>
      </c>
      <c r="AC445" s="781"/>
      <c r="AD445" s="781"/>
      <c r="AE445" s="781"/>
      <c r="AF445" s="781"/>
      <c r="AG445" s="781"/>
      <c r="AH445" s="781"/>
      <c r="AI445" s="781"/>
      <c r="AJ445" s="781"/>
      <c r="AK445" s="781"/>
      <c r="AL445" s="781"/>
      <c r="AM445" s="781"/>
      <c r="AN445" s="781"/>
      <c r="AO445" s="781"/>
      <c r="AP445" s="1056"/>
      <c r="AQ445" s="369"/>
    </row>
    <row r="446" spans="4:45" ht="42" customHeight="1" outlineLevel="1">
      <c r="D446" s="1">
        <v>68</v>
      </c>
      <c r="AB446" s="832">
        <v>0</v>
      </c>
      <c r="AC446" s="781"/>
      <c r="AD446" s="781"/>
      <c r="AE446" s="781"/>
      <c r="AF446" s="781"/>
      <c r="AG446" s="781"/>
      <c r="AH446" s="781"/>
      <c r="AI446" s="781"/>
      <c r="AJ446" s="781"/>
      <c r="AK446" s="781"/>
      <c r="AL446" s="781"/>
      <c r="AM446" s="781"/>
      <c r="AN446" s="781"/>
      <c r="AO446" s="781"/>
      <c r="AP446" s="781"/>
      <c r="AQ446" s="781"/>
    </row>
    <row r="447" spans="4:45" ht="28.5" customHeight="1" outlineLevel="1">
      <c r="D447" s="1">
        <v>45</v>
      </c>
      <c r="AB447" s="878"/>
      <c r="AC447" s="878"/>
      <c r="AD447" s="878"/>
      <c r="AE447" s="878"/>
      <c r="AF447" s="878"/>
      <c r="AG447" s="878"/>
      <c r="AH447" s="878"/>
      <c r="AI447" s="878"/>
      <c r="AJ447" s="878"/>
      <c r="AK447" s="878"/>
      <c r="AL447" s="878"/>
      <c r="AM447" s="878"/>
      <c r="AN447" s="878"/>
      <c r="AO447" s="878"/>
      <c r="AP447" s="878"/>
      <c r="AQ447" s="878"/>
    </row>
    <row r="448" spans="4:45" ht="28.5" customHeight="1" outlineLevel="1">
      <c r="D448" s="1">
        <v>45</v>
      </c>
      <c r="AB448" s="1038"/>
      <c r="AC448" s="1038"/>
      <c r="AD448" s="1038"/>
      <c r="AE448" s="1038"/>
      <c r="AF448" s="1038"/>
      <c r="AG448" s="1038"/>
      <c r="AH448" s="1038"/>
      <c r="AI448" s="1038"/>
      <c r="AJ448" s="1038"/>
      <c r="AK448" s="1038"/>
      <c r="AL448" s="1038"/>
      <c r="AM448" s="1038"/>
      <c r="AN448" s="1038"/>
      <c r="AO448" s="1038"/>
      <c r="AP448" s="1038"/>
      <c r="AQ448" s="1038"/>
    </row>
    <row r="449" spans="4:43" ht="28.5" hidden="1" customHeight="1">
      <c r="D449" s="1">
        <v>0</v>
      </c>
      <c r="AB449" s="781"/>
      <c r="AC449" s="781"/>
      <c r="AD449" s="781"/>
      <c r="AE449" s="781"/>
      <c r="AF449" s="781"/>
      <c r="AG449" s="781"/>
      <c r="AH449" s="781"/>
      <c r="AI449" s="781"/>
      <c r="AJ449" s="781"/>
      <c r="AK449" s="781"/>
      <c r="AL449" s="781"/>
      <c r="AM449" s="781"/>
      <c r="AN449" s="781"/>
      <c r="AO449" s="781"/>
      <c r="AP449" s="781"/>
      <c r="AQ449" s="781"/>
    </row>
    <row r="450" spans="4:43" ht="16.5" customHeight="1" outlineLevel="1">
      <c r="D450" s="1">
        <v>26</v>
      </c>
      <c r="AB450" s="1080" t="s">
        <v>1527</v>
      </c>
      <c r="AC450" s="781"/>
      <c r="AD450" s="781"/>
      <c r="AE450" s="781"/>
      <c r="AF450" s="781"/>
      <c r="AG450" s="781"/>
      <c r="AH450" s="781"/>
      <c r="AI450" s="781"/>
      <c r="AJ450" s="781"/>
      <c r="AK450" s="781"/>
      <c r="AL450" s="781"/>
      <c r="AM450" s="781"/>
      <c r="AN450" s="781"/>
      <c r="AO450" s="781"/>
      <c r="AP450" s="781"/>
      <c r="AQ450" s="781"/>
    </row>
    <row r="451" spans="4:43" ht="28.5" customHeight="1" outlineLevel="1">
      <c r="D451" s="1">
        <v>45</v>
      </c>
      <c r="AB451" s="832" t="s">
        <v>1528</v>
      </c>
      <c r="AC451" s="781"/>
      <c r="AD451" s="781"/>
      <c r="AE451" s="781"/>
      <c r="AF451" s="781"/>
      <c r="AG451" s="781"/>
      <c r="AH451" s="781"/>
      <c r="AI451" s="781"/>
      <c r="AJ451" s="781"/>
      <c r="AK451" s="781"/>
      <c r="AL451" s="781"/>
      <c r="AM451" s="781"/>
      <c r="AN451" s="781"/>
      <c r="AO451" s="781"/>
      <c r="AP451" s="781"/>
      <c r="AQ451" s="781"/>
    </row>
    <row r="452" spans="4:43" ht="21" customHeight="1" outlineLevel="1">
      <c r="D452" s="1">
        <v>34</v>
      </c>
      <c r="AB452" s="832" t="s">
        <v>1821</v>
      </c>
      <c r="AC452" s="781"/>
      <c r="AD452" s="781"/>
      <c r="AE452" s="781"/>
      <c r="AF452" s="781"/>
      <c r="AG452" s="781"/>
      <c r="AH452" s="781"/>
      <c r="AI452" s="781"/>
      <c r="AJ452" s="781"/>
      <c r="AK452" s="781"/>
      <c r="AL452" s="781"/>
      <c r="AM452" s="781"/>
      <c r="AN452" s="781"/>
      <c r="AO452" s="781"/>
      <c r="AP452" s="781"/>
      <c r="AQ452" s="781"/>
    </row>
    <row r="453" spans="4:43" ht="28.5" customHeight="1" outlineLevel="1">
      <c r="D453" s="1">
        <v>45</v>
      </c>
      <c r="AB453" s="1038"/>
      <c r="AC453" s="1038"/>
      <c r="AD453" s="1038"/>
      <c r="AE453" s="1038"/>
      <c r="AF453" s="1038"/>
      <c r="AG453" s="1038"/>
      <c r="AH453" s="1038"/>
      <c r="AI453" s="1038"/>
      <c r="AJ453" s="1038"/>
      <c r="AK453" s="1038"/>
      <c r="AL453" s="1038"/>
      <c r="AM453" s="1038"/>
      <c r="AN453" s="1038"/>
      <c r="AO453" s="1038"/>
      <c r="AP453" s="1038"/>
      <c r="AQ453" s="1038"/>
    </row>
    <row r="454" spans="4:43" ht="28.5" customHeight="1" outlineLevel="1">
      <c r="D454" s="1">
        <v>45</v>
      </c>
      <c r="AB454" s="878"/>
      <c r="AC454" s="878"/>
      <c r="AD454" s="878"/>
      <c r="AE454" s="878"/>
      <c r="AF454" s="878"/>
      <c r="AG454" s="878"/>
      <c r="AH454" s="878"/>
      <c r="AI454" s="878"/>
      <c r="AJ454" s="878"/>
      <c r="AK454" s="878"/>
      <c r="AL454" s="878"/>
      <c r="AM454" s="878"/>
      <c r="AN454" s="878"/>
      <c r="AO454" s="878"/>
      <c r="AP454" s="878"/>
      <c r="AQ454" s="878"/>
    </row>
    <row r="455" spans="4:43" ht="55.5" customHeight="1" outlineLevel="1">
      <c r="D455" s="1">
        <v>90</v>
      </c>
      <c r="AB455" s="878"/>
      <c r="AC455" s="878"/>
      <c r="AD455" s="878"/>
      <c r="AE455" s="878"/>
      <c r="AF455" s="878"/>
      <c r="AG455" s="878"/>
      <c r="AH455" s="878"/>
      <c r="AI455" s="878"/>
      <c r="AJ455" s="878"/>
      <c r="AK455" s="878"/>
      <c r="AL455" s="878"/>
      <c r="AM455" s="878"/>
      <c r="AN455" s="878"/>
      <c r="AO455" s="878"/>
      <c r="AP455" s="878"/>
      <c r="AQ455" s="878"/>
    </row>
    <row r="456" spans="4:43" ht="23.25" customHeight="1" outlineLevel="1">
      <c r="D456" s="1">
        <v>37</v>
      </c>
      <c r="AB456" s="832" t="s">
        <v>1822</v>
      </c>
      <c r="AC456" s="781"/>
      <c r="AD456" s="781"/>
      <c r="AE456" s="781"/>
      <c r="AF456" s="781"/>
      <c r="AG456" s="781"/>
      <c r="AH456" s="781"/>
      <c r="AI456" s="781"/>
      <c r="AJ456" s="781"/>
      <c r="AK456" s="781"/>
      <c r="AL456" s="781"/>
      <c r="AM456" s="781"/>
      <c r="AN456" s="781"/>
      <c r="AO456" s="781"/>
      <c r="AP456" s="781"/>
      <c r="AQ456" s="781"/>
    </row>
    <row r="457" spans="4:43" ht="28.5" customHeight="1" outlineLevel="1">
      <c r="D457" s="1">
        <v>45</v>
      </c>
      <c r="AB457" s="832" t="s">
        <v>1823</v>
      </c>
      <c r="AC457" s="781"/>
      <c r="AD457" s="781"/>
      <c r="AE457" s="781"/>
      <c r="AF457" s="781"/>
      <c r="AG457" s="781"/>
      <c r="AH457" s="781"/>
      <c r="AI457" s="781"/>
      <c r="AJ457" s="781"/>
      <c r="AK457" s="781"/>
      <c r="AL457" s="781"/>
      <c r="AM457" s="781"/>
      <c r="AN457" s="781"/>
      <c r="AO457" s="781"/>
      <c r="AP457" s="781"/>
      <c r="AQ457" s="781"/>
    </row>
    <row r="458" spans="4:43" ht="28.5" customHeight="1">
      <c r="D458" s="1">
        <v>45</v>
      </c>
      <c r="AB458" s="781"/>
      <c r="AC458" s="781"/>
      <c r="AD458" s="781"/>
      <c r="AE458" s="781"/>
      <c r="AF458" s="781"/>
      <c r="AG458" s="781"/>
      <c r="AH458" s="781"/>
      <c r="AI458" s="781"/>
      <c r="AJ458" s="781"/>
      <c r="AK458" s="781"/>
      <c r="AL458" s="781"/>
      <c r="AM458" s="781"/>
      <c r="AN458" s="781"/>
      <c r="AO458" s="781"/>
      <c r="AP458" s="781"/>
      <c r="AQ458" s="781"/>
    </row>
    <row r="459" spans="4:43" ht="16.5" customHeight="1" outlineLevel="1">
      <c r="D459" s="1">
        <v>26</v>
      </c>
      <c r="AB459" s="1080" t="s">
        <v>1533</v>
      </c>
      <c r="AC459" s="781"/>
      <c r="AD459" s="781"/>
      <c r="AE459" s="781"/>
      <c r="AF459" s="781"/>
      <c r="AG459" s="781"/>
      <c r="AH459" s="781"/>
      <c r="AI459" s="781"/>
      <c r="AJ459" s="781"/>
      <c r="AK459" s="781"/>
      <c r="AL459" s="781"/>
      <c r="AM459" s="781"/>
      <c r="AN459" s="781"/>
      <c r="AO459" s="781"/>
      <c r="AP459" s="781"/>
      <c r="AQ459" s="781"/>
    </row>
    <row r="460" spans="4:43" ht="28.5" customHeight="1" outlineLevel="1">
      <c r="D460" s="1">
        <v>45</v>
      </c>
      <c r="AB460" s="832" t="s">
        <v>1824</v>
      </c>
      <c r="AC460" s="781"/>
      <c r="AD460" s="781"/>
      <c r="AE460" s="781"/>
      <c r="AF460" s="781"/>
      <c r="AG460" s="781"/>
      <c r="AH460" s="781"/>
      <c r="AI460" s="781"/>
      <c r="AJ460" s="781"/>
      <c r="AK460" s="781"/>
      <c r="AL460" s="781"/>
      <c r="AM460" s="781"/>
      <c r="AN460" s="781"/>
      <c r="AO460" s="781"/>
      <c r="AP460" s="781"/>
      <c r="AQ460" s="781"/>
    </row>
    <row r="461" spans="4:43" ht="28.5" customHeight="1" outlineLevel="1">
      <c r="D461" s="1">
        <v>45</v>
      </c>
      <c r="AB461" s="832" t="s">
        <v>1825</v>
      </c>
      <c r="AC461" s="781"/>
      <c r="AD461" s="781"/>
      <c r="AE461" s="781"/>
      <c r="AF461" s="781"/>
      <c r="AG461" s="781"/>
      <c r="AH461" s="781"/>
      <c r="AI461" s="781"/>
      <c r="AJ461" s="781"/>
      <c r="AK461" s="781"/>
      <c r="AL461" s="781"/>
      <c r="AM461" s="781"/>
      <c r="AN461" s="781"/>
      <c r="AO461" s="781"/>
      <c r="AP461" s="781"/>
      <c r="AQ461" s="781"/>
    </row>
    <row r="462" spans="4:43" ht="70.5" customHeight="1" outlineLevel="1">
      <c r="D462" s="1">
        <v>112</v>
      </c>
      <c r="AB462" s="832" t="s">
        <v>1826</v>
      </c>
      <c r="AC462" s="781"/>
      <c r="AD462" s="781"/>
      <c r="AE462" s="781"/>
      <c r="AF462" s="781"/>
      <c r="AG462" s="781"/>
      <c r="AH462" s="781"/>
      <c r="AI462" s="781"/>
      <c r="AJ462" s="781"/>
      <c r="AK462" s="781"/>
      <c r="AL462" s="781"/>
      <c r="AM462" s="781"/>
      <c r="AN462" s="781"/>
      <c r="AO462" s="781"/>
      <c r="AP462" s="781"/>
      <c r="AQ462" s="781"/>
    </row>
    <row r="463" spans="4:43" ht="21.75" customHeight="1" outlineLevel="1">
      <c r="D463" s="1">
        <v>36</v>
      </c>
      <c r="AB463" s="832" t="s">
        <v>1827</v>
      </c>
      <c r="AC463" s="781"/>
      <c r="AD463" s="781"/>
      <c r="AE463" s="781"/>
      <c r="AF463" s="781"/>
      <c r="AG463" s="781"/>
      <c r="AH463" s="781"/>
      <c r="AI463" s="781"/>
      <c r="AJ463" s="781"/>
      <c r="AK463" s="781"/>
      <c r="AL463" s="781"/>
      <c r="AM463" s="781"/>
      <c r="AN463" s="781"/>
      <c r="AO463" s="781"/>
      <c r="AP463" s="781"/>
      <c r="AQ463" s="781"/>
    </row>
    <row r="464" spans="4:43" ht="28.5" customHeight="1" outlineLevel="1">
      <c r="D464" s="1">
        <v>45</v>
      </c>
      <c r="AB464" s="1038"/>
      <c r="AC464" s="1038"/>
      <c r="AD464" s="1038"/>
      <c r="AE464" s="1038"/>
      <c r="AF464" s="1038"/>
      <c r="AG464" s="1038"/>
      <c r="AH464" s="1038"/>
      <c r="AI464" s="1038"/>
      <c r="AJ464" s="1038"/>
      <c r="AK464" s="1038"/>
      <c r="AL464" s="1038"/>
      <c r="AM464" s="1038"/>
      <c r="AN464" s="1038"/>
      <c r="AO464" s="1038"/>
      <c r="AP464" s="1038"/>
      <c r="AQ464" s="1038"/>
    </row>
    <row r="465" spans="4:43" ht="45" customHeight="1" outlineLevel="1">
      <c r="D465" s="1">
        <v>72</v>
      </c>
      <c r="AB465" s="1038"/>
      <c r="AC465" s="1038"/>
      <c r="AD465" s="1038"/>
      <c r="AE465" s="1038"/>
      <c r="AF465" s="1038"/>
      <c r="AG465" s="1038"/>
      <c r="AH465" s="1038"/>
      <c r="AI465" s="1038"/>
      <c r="AJ465" s="1038"/>
      <c r="AK465" s="1038"/>
      <c r="AL465" s="1038"/>
      <c r="AM465" s="1038"/>
      <c r="AN465" s="1038"/>
      <c r="AO465" s="1038"/>
      <c r="AP465" s="1038"/>
      <c r="AQ465" s="1038"/>
    </row>
    <row r="466" spans="4:43" ht="28.5" hidden="1" customHeight="1">
      <c r="D466" s="1">
        <v>0</v>
      </c>
    </row>
    <row r="467" spans="4:43" ht="14.25" customHeight="1">
      <c r="D467" s="1">
        <v>23</v>
      </c>
      <c r="AB467" s="1078" t="s">
        <v>1828</v>
      </c>
      <c r="AC467" s="781"/>
      <c r="AD467" s="781"/>
      <c r="AE467" s="781"/>
      <c r="AF467" s="781"/>
      <c r="AG467" s="781"/>
      <c r="AH467" s="781"/>
      <c r="AI467" s="781"/>
      <c r="AJ467" s="781"/>
      <c r="AK467" s="781"/>
      <c r="AL467" s="781"/>
      <c r="AM467" s="781"/>
      <c r="AN467" s="781"/>
      <c r="AO467" s="781"/>
      <c r="AP467" s="781"/>
      <c r="AQ467" s="781"/>
    </row>
    <row r="468" spans="4:43" ht="28.5" customHeight="1">
      <c r="D468" s="1">
        <v>45</v>
      </c>
      <c r="AB468" s="1038"/>
      <c r="AC468" s="1038"/>
      <c r="AD468" s="1038"/>
      <c r="AE468" s="1038"/>
      <c r="AF468" s="1038"/>
      <c r="AG468" s="1038"/>
      <c r="AH468" s="1038"/>
      <c r="AI468" s="1038"/>
      <c r="AJ468" s="1038"/>
      <c r="AK468" s="1038"/>
      <c r="AL468" s="1038"/>
      <c r="AM468" s="1038"/>
      <c r="AN468" s="1038"/>
      <c r="AO468" s="1038"/>
      <c r="AP468" s="1038"/>
      <c r="AQ468" s="1038"/>
    </row>
    <row r="469" spans="4:43" ht="28.5" customHeight="1">
      <c r="D469" s="1">
        <v>45</v>
      </c>
      <c r="AB469" s="1038"/>
      <c r="AC469" s="1038"/>
      <c r="AD469" s="1038"/>
      <c r="AE469" s="1038"/>
      <c r="AF469" s="1038"/>
      <c r="AG469" s="1038"/>
      <c r="AH469" s="1038"/>
      <c r="AI469" s="1038"/>
      <c r="AJ469" s="1038"/>
      <c r="AK469" s="1038"/>
      <c r="AL469" s="1038"/>
      <c r="AM469" s="1038"/>
      <c r="AN469" s="1038"/>
      <c r="AO469" s="1038"/>
      <c r="AP469" s="1038"/>
      <c r="AQ469" s="1038"/>
    </row>
    <row r="470" spans="4:43" ht="28.5" customHeight="1">
      <c r="D470" s="1">
        <v>45</v>
      </c>
      <c r="AB470" s="1038"/>
      <c r="AC470" s="1038"/>
      <c r="AD470" s="1038"/>
      <c r="AE470" s="1038"/>
      <c r="AF470" s="1038"/>
      <c r="AG470" s="1038"/>
      <c r="AH470" s="1038"/>
      <c r="AI470" s="1038"/>
      <c r="AJ470" s="1038"/>
      <c r="AK470" s="1038"/>
      <c r="AL470" s="1038"/>
      <c r="AM470" s="1038"/>
      <c r="AN470" s="1038"/>
      <c r="AO470" s="1038"/>
      <c r="AP470" s="1038"/>
      <c r="AQ470" s="1038"/>
    </row>
    <row r="471" spans="4:43" ht="28.5" hidden="1" customHeight="1">
      <c r="D471" s="1">
        <v>0</v>
      </c>
      <c r="AB471" s="781"/>
      <c r="AC471" s="781"/>
      <c r="AD471" s="781"/>
      <c r="AE471" s="781"/>
      <c r="AF471" s="781"/>
      <c r="AG471" s="781"/>
      <c r="AH471" s="781"/>
      <c r="AI471" s="781"/>
      <c r="AJ471" s="781"/>
      <c r="AK471" s="781"/>
      <c r="AL471" s="781"/>
      <c r="AM471" s="781"/>
      <c r="AN471" s="781"/>
      <c r="AO471" s="781"/>
      <c r="AP471" s="781"/>
      <c r="AQ471" s="781"/>
    </row>
    <row r="472" spans="4:43" ht="14.25" customHeight="1" outlineLevel="1">
      <c r="D472" s="1">
        <v>23</v>
      </c>
      <c r="AB472" s="1078" t="s">
        <v>1543</v>
      </c>
      <c r="AC472" s="781"/>
      <c r="AD472" s="781"/>
      <c r="AE472" s="781"/>
      <c r="AF472" s="781"/>
      <c r="AG472" s="781"/>
      <c r="AH472" s="781"/>
      <c r="AI472" s="781"/>
      <c r="AJ472" s="781"/>
      <c r="AK472" s="781"/>
      <c r="AL472" s="781"/>
      <c r="AM472" s="781"/>
      <c r="AN472" s="781"/>
      <c r="AO472" s="781"/>
      <c r="AP472" s="781"/>
      <c r="AQ472" s="781"/>
    </row>
    <row r="473" spans="4:43" ht="14.25" customHeight="1" outlineLevel="1">
      <c r="D473" s="1">
        <v>23</v>
      </c>
    </row>
    <row r="474" spans="4:43" ht="28.5" customHeight="1" outlineLevel="1">
      <c r="D474" s="1">
        <v>45</v>
      </c>
      <c r="AB474" s="832" t="s">
        <v>1829</v>
      </c>
      <c r="AC474" s="781"/>
      <c r="AD474" s="781"/>
      <c r="AE474" s="781"/>
      <c r="AF474" s="781"/>
      <c r="AG474" s="781"/>
      <c r="AH474" s="781"/>
      <c r="AI474" s="781"/>
      <c r="AJ474" s="781"/>
      <c r="AK474" s="781"/>
      <c r="AL474" s="781"/>
      <c r="AM474" s="781"/>
      <c r="AN474" s="781"/>
      <c r="AO474" s="781"/>
      <c r="AP474" s="781"/>
      <c r="AQ474" s="781"/>
    </row>
    <row r="475" spans="4:43" ht="17.25" customHeight="1" outlineLevel="1">
      <c r="D475" s="1">
        <v>28</v>
      </c>
      <c r="AB475" s="832" t="s">
        <v>1830</v>
      </c>
      <c r="AC475" s="781"/>
      <c r="AD475" s="781"/>
      <c r="AE475" s="781"/>
      <c r="AF475" s="781"/>
      <c r="AG475" s="781"/>
      <c r="AH475" s="781"/>
      <c r="AI475" s="781"/>
      <c r="AJ475" s="781"/>
      <c r="AK475" s="781"/>
      <c r="AL475" s="781"/>
      <c r="AM475" s="781"/>
      <c r="AN475" s="781"/>
      <c r="AO475" s="781"/>
      <c r="AP475" s="781"/>
      <c r="AQ475" s="781"/>
    </row>
    <row r="476" spans="4:43" ht="16.5" customHeight="1" outlineLevel="1">
      <c r="D476" s="1">
        <v>26</v>
      </c>
      <c r="AB476" s="832" t="s">
        <v>1831</v>
      </c>
      <c r="AC476" s="781"/>
      <c r="AD476" s="781"/>
      <c r="AE476" s="781"/>
      <c r="AF476" s="781"/>
      <c r="AG476" s="781"/>
      <c r="AH476" s="781"/>
      <c r="AI476" s="781"/>
      <c r="AJ476" s="781"/>
      <c r="AK476" s="781"/>
      <c r="AL476" s="781"/>
      <c r="AM476" s="781"/>
      <c r="AN476" s="781"/>
      <c r="AO476" s="781"/>
      <c r="AP476" s="781"/>
      <c r="AQ476" s="781"/>
    </row>
    <row r="477" spans="4:43" ht="16.5" customHeight="1" outlineLevel="1">
      <c r="D477" s="1">
        <v>26</v>
      </c>
      <c r="AB477" s="832" t="s">
        <v>1832</v>
      </c>
      <c r="AC477" s="781"/>
      <c r="AD477" s="781"/>
      <c r="AE477" s="781"/>
      <c r="AF477" s="781"/>
      <c r="AG477" s="781"/>
      <c r="AH477" s="781"/>
      <c r="AI477" s="781"/>
      <c r="AJ477" s="781"/>
      <c r="AK477" s="781"/>
      <c r="AL477" s="781"/>
      <c r="AM477" s="781"/>
      <c r="AN477" s="781"/>
      <c r="AO477" s="781"/>
      <c r="AP477" s="781"/>
      <c r="AQ477" s="781"/>
    </row>
    <row r="478" spans="4:43" ht="16.5" customHeight="1" outlineLevel="1">
      <c r="D478" s="1">
        <v>26</v>
      </c>
      <c r="AB478" s="832" t="s">
        <v>1833</v>
      </c>
      <c r="AC478" s="781"/>
      <c r="AD478" s="781"/>
      <c r="AE478" s="781"/>
      <c r="AF478" s="781"/>
      <c r="AG478" s="781"/>
      <c r="AH478" s="781"/>
      <c r="AI478" s="781"/>
      <c r="AJ478" s="781"/>
      <c r="AK478" s="781"/>
      <c r="AL478" s="781"/>
      <c r="AM478" s="781"/>
      <c r="AN478" s="781"/>
      <c r="AO478" s="781"/>
      <c r="AP478" s="781"/>
      <c r="AQ478" s="781"/>
    </row>
    <row r="479" spans="4:43" ht="16.5" customHeight="1" outlineLevel="1">
      <c r="D479" s="1">
        <v>26</v>
      </c>
      <c r="AB479" s="832" t="s">
        <v>1834</v>
      </c>
      <c r="AC479" s="781"/>
      <c r="AD479" s="781"/>
      <c r="AE479" s="781"/>
      <c r="AF479" s="781"/>
      <c r="AG479" s="781"/>
      <c r="AH479" s="781"/>
      <c r="AI479" s="781"/>
      <c r="AJ479" s="781"/>
      <c r="AK479" s="781"/>
      <c r="AL479" s="781"/>
      <c r="AM479" s="781"/>
      <c r="AN479" s="781"/>
      <c r="AO479" s="781"/>
      <c r="AP479" s="781"/>
      <c r="AQ479" s="781"/>
    </row>
    <row r="480" spans="4:43" ht="16.5" customHeight="1" outlineLevel="1">
      <c r="D480" s="1">
        <v>26</v>
      </c>
      <c r="AB480" s="832" t="s">
        <v>1835</v>
      </c>
      <c r="AC480" s="781"/>
      <c r="AD480" s="781"/>
      <c r="AE480" s="781"/>
      <c r="AF480" s="781"/>
      <c r="AG480" s="781"/>
      <c r="AH480" s="781"/>
      <c r="AI480" s="781"/>
      <c r="AJ480" s="781"/>
      <c r="AK480" s="781"/>
      <c r="AL480" s="781"/>
      <c r="AM480" s="781"/>
      <c r="AN480" s="781"/>
      <c r="AO480" s="781"/>
      <c r="AP480" s="781"/>
      <c r="AQ480" s="781"/>
    </row>
    <row r="481" spans="4:43" ht="16.5" customHeight="1" outlineLevel="1">
      <c r="D481" s="1">
        <v>26</v>
      </c>
      <c r="AB481" s="832" t="s">
        <v>1836</v>
      </c>
      <c r="AC481" s="781"/>
      <c r="AD481" s="781"/>
      <c r="AE481" s="781"/>
      <c r="AF481" s="781"/>
      <c r="AG481" s="781"/>
      <c r="AH481" s="781"/>
      <c r="AI481" s="781"/>
      <c r="AJ481" s="781"/>
      <c r="AK481" s="781"/>
      <c r="AL481" s="781"/>
      <c r="AM481" s="781"/>
      <c r="AN481" s="781"/>
      <c r="AO481" s="781"/>
      <c r="AP481" s="781"/>
      <c r="AQ481" s="781"/>
    </row>
    <row r="482" spans="4:43" ht="16.5" customHeight="1" outlineLevel="1">
      <c r="D482" s="1">
        <v>26</v>
      </c>
      <c r="AB482" s="832" t="s">
        <v>1837</v>
      </c>
      <c r="AC482" s="781"/>
      <c r="AD482" s="781"/>
      <c r="AE482" s="781"/>
      <c r="AF482" s="781"/>
      <c r="AG482" s="781"/>
      <c r="AH482" s="781"/>
      <c r="AI482" s="781"/>
      <c r="AJ482" s="781"/>
      <c r="AK482" s="781"/>
      <c r="AL482" s="781"/>
      <c r="AM482" s="781"/>
      <c r="AN482" s="781"/>
      <c r="AO482" s="781"/>
      <c r="AP482" s="781"/>
      <c r="AQ482" s="781"/>
    </row>
    <row r="483" spans="4:43" ht="16.5" customHeight="1" outlineLevel="1">
      <c r="D483" s="1">
        <v>26</v>
      </c>
      <c r="AB483" s="832" t="s">
        <v>1838</v>
      </c>
      <c r="AC483" s="781"/>
      <c r="AD483" s="781"/>
      <c r="AE483" s="781"/>
      <c r="AF483" s="781"/>
      <c r="AG483" s="781"/>
      <c r="AH483" s="781"/>
      <c r="AI483" s="781"/>
      <c r="AJ483" s="781"/>
      <c r="AK483" s="781"/>
      <c r="AL483" s="781"/>
      <c r="AM483" s="781"/>
      <c r="AN483" s="781"/>
      <c r="AO483" s="781"/>
      <c r="AP483" s="781"/>
      <c r="AQ483" s="781"/>
    </row>
    <row r="484" spans="4:43" ht="16.5" customHeight="1" outlineLevel="1">
      <c r="D484" s="1">
        <v>26</v>
      </c>
      <c r="AB484" s="832" t="s">
        <v>1839</v>
      </c>
      <c r="AC484" s="781"/>
      <c r="AD484" s="781"/>
      <c r="AE484" s="781"/>
      <c r="AF484" s="781"/>
      <c r="AG484" s="781"/>
      <c r="AH484" s="781"/>
      <c r="AI484" s="781"/>
      <c r="AJ484" s="781"/>
      <c r="AK484" s="781"/>
      <c r="AL484" s="781"/>
      <c r="AM484" s="781"/>
      <c r="AN484" s="781"/>
      <c r="AO484" s="781"/>
      <c r="AP484" s="781"/>
      <c r="AQ484" s="781"/>
    </row>
    <row r="485" spans="4:43" ht="65.25" customHeight="1" outlineLevel="1">
      <c r="D485" s="1">
        <v>104</v>
      </c>
      <c r="AB485" s="832" t="s">
        <v>1840</v>
      </c>
      <c r="AC485" s="781"/>
      <c r="AD485" s="781"/>
      <c r="AE485" s="781"/>
      <c r="AF485" s="781"/>
      <c r="AG485" s="781"/>
      <c r="AH485" s="781"/>
      <c r="AI485" s="781"/>
      <c r="AJ485" s="781"/>
      <c r="AK485" s="781"/>
      <c r="AL485" s="781"/>
      <c r="AM485" s="781"/>
      <c r="AN485" s="781"/>
      <c r="AO485" s="781"/>
      <c r="AP485" s="781"/>
      <c r="AQ485" s="781"/>
    </row>
    <row r="486" spans="4:43" ht="63" customHeight="1" outlineLevel="1">
      <c r="D486" s="1">
        <v>101</v>
      </c>
      <c r="AB486" s="832" t="s">
        <v>1841</v>
      </c>
      <c r="AC486" s="781"/>
      <c r="AD486" s="781"/>
      <c r="AE486" s="781"/>
      <c r="AF486" s="781"/>
      <c r="AG486" s="781"/>
      <c r="AH486" s="781"/>
      <c r="AI486" s="781"/>
      <c r="AJ486" s="781"/>
      <c r="AK486" s="781"/>
      <c r="AL486" s="781"/>
      <c r="AM486" s="781"/>
      <c r="AN486" s="781"/>
      <c r="AO486" s="781"/>
      <c r="AP486" s="781"/>
      <c r="AQ486" s="781"/>
    </row>
    <row r="487" spans="4:43" ht="35.25" customHeight="1" outlineLevel="1">
      <c r="D487" s="1">
        <v>56</v>
      </c>
      <c r="AB487" s="781"/>
      <c r="AC487" s="781"/>
      <c r="AD487" s="781"/>
      <c r="AE487" s="781"/>
      <c r="AF487" s="781"/>
      <c r="AG487" s="781"/>
      <c r="AH487" s="781"/>
      <c r="AI487" s="781"/>
      <c r="AJ487" s="781"/>
      <c r="AK487" s="781"/>
      <c r="AL487" s="781"/>
      <c r="AM487" s="781"/>
      <c r="AN487" s="781"/>
      <c r="AO487" s="781"/>
      <c r="AP487" s="781"/>
      <c r="AQ487" s="781"/>
    </row>
    <row r="488" spans="4:43" ht="28.5" customHeight="1" outlineLevel="1">
      <c r="D488" s="1">
        <v>45</v>
      </c>
      <c r="AG488" s="29" t="s">
        <v>1842</v>
      </c>
    </row>
    <row r="489" spans="4:43" ht="28.5" customHeight="1" outlineLevel="1">
      <c r="D489" s="1">
        <v>45</v>
      </c>
      <c r="AC489" s="832" t="s">
        <v>1843</v>
      </c>
      <c r="AD489" s="781"/>
      <c r="AE489" s="781"/>
      <c r="AF489" s="781"/>
      <c r="AG489" s="781"/>
      <c r="AH489" s="781"/>
      <c r="AI489" s="781"/>
      <c r="AJ489" s="781"/>
      <c r="AK489" s="781"/>
      <c r="AL489" s="781"/>
      <c r="AM489" s="781"/>
      <c r="AN489" s="781"/>
      <c r="AO489" s="781"/>
      <c r="AP489" s="781"/>
      <c r="AQ489" s="781"/>
    </row>
    <row r="490" spans="4:43" ht="28.5" customHeight="1" outlineLevel="1">
      <c r="D490" s="1">
        <v>45</v>
      </c>
      <c r="AB490" s="781"/>
      <c r="AC490" s="781"/>
      <c r="AD490" s="781"/>
      <c r="AE490" s="781"/>
      <c r="AF490" s="781"/>
      <c r="AG490" s="781"/>
      <c r="AH490" s="781"/>
      <c r="AI490" s="781"/>
      <c r="AJ490" s="781"/>
      <c r="AK490" s="781"/>
      <c r="AL490" s="781"/>
      <c r="AM490" s="781"/>
      <c r="AN490" s="781"/>
      <c r="AO490" s="781"/>
      <c r="AP490" s="781"/>
      <c r="AQ490" s="781"/>
    </row>
    <row r="491" spans="4:43" ht="28.5" hidden="1" customHeight="1" outlineLevel="1">
      <c r="D491" s="1">
        <v>0</v>
      </c>
      <c r="AB491" s="781"/>
      <c r="AC491" s="781"/>
      <c r="AD491" s="781"/>
      <c r="AE491" s="781"/>
      <c r="AF491" s="781"/>
      <c r="AG491" s="781"/>
      <c r="AH491" s="781"/>
      <c r="AI491" s="781"/>
      <c r="AJ491" s="781"/>
      <c r="AK491" s="781"/>
      <c r="AL491" s="781"/>
      <c r="AM491" s="781"/>
      <c r="AN491" s="781"/>
      <c r="AO491" s="781"/>
      <c r="AP491" s="781"/>
      <c r="AQ491" s="781"/>
    </row>
    <row r="492" spans="4:43" ht="28.5" hidden="1" customHeight="1" outlineLevel="1">
      <c r="D492" s="1">
        <v>0</v>
      </c>
      <c r="AB492" s="781"/>
      <c r="AC492" s="781"/>
      <c r="AD492" s="781"/>
      <c r="AE492" s="781"/>
      <c r="AF492" s="781"/>
      <c r="AG492" s="781"/>
      <c r="AH492" s="781"/>
      <c r="AI492" s="781"/>
      <c r="AJ492" s="781"/>
      <c r="AK492" s="781"/>
      <c r="AL492" s="781"/>
      <c r="AM492" s="781"/>
      <c r="AN492" s="781"/>
      <c r="AO492" s="781"/>
      <c r="AP492" s="781"/>
      <c r="AQ492" s="781"/>
    </row>
    <row r="493" spans="4:43" ht="28.5" customHeight="1" outlineLevel="1">
      <c r="D493" s="1">
        <v>45</v>
      </c>
      <c r="AC493" s="47" t="s">
        <v>618</v>
      </c>
      <c r="AD493" s="1103" t="s">
        <v>1551</v>
      </c>
      <c r="AE493" s="831"/>
      <c r="AF493" s="1104"/>
      <c r="AG493" s="47" t="s">
        <v>619</v>
      </c>
      <c r="AH493" s="78">
        <v>0</v>
      </c>
    </row>
    <row r="494" spans="4:43" ht="28.5" customHeight="1" outlineLevel="1">
      <c r="D494" s="1">
        <v>45</v>
      </c>
      <c r="AC494" s="47" t="s">
        <v>930</v>
      </c>
      <c r="AD494" s="1103" t="s">
        <v>1844</v>
      </c>
      <c r="AE494" s="831"/>
      <c r="AF494" s="1104"/>
      <c r="AG494" s="47" t="s">
        <v>619</v>
      </c>
      <c r="AH494" s="78">
        <v>0</v>
      </c>
    </row>
    <row r="495" spans="4:43" ht="28.5" customHeight="1" outlineLevel="1">
      <c r="D495" s="1">
        <v>45</v>
      </c>
      <c r="AC495" s="47" t="s">
        <v>931</v>
      </c>
      <c r="AD495" s="1103" t="s">
        <v>1845</v>
      </c>
      <c r="AE495" s="831"/>
      <c r="AF495" s="1104"/>
      <c r="AG495" s="47" t="s">
        <v>619</v>
      </c>
      <c r="AH495" s="78">
        <v>0</v>
      </c>
    </row>
    <row r="496" spans="4:43" ht="18" customHeight="1" outlineLevel="1">
      <c r="D496" s="1">
        <v>29</v>
      </c>
      <c r="AC496" s="47" t="s">
        <v>932</v>
      </c>
      <c r="AD496" s="1103" t="s">
        <v>1552</v>
      </c>
      <c r="AE496" s="831"/>
      <c r="AF496" s="1104"/>
      <c r="AG496" s="47" t="s">
        <v>633</v>
      </c>
      <c r="AH496" s="128">
        <v>0</v>
      </c>
    </row>
    <row r="497" spans="4:43" ht="18" customHeight="1" outlineLevel="1">
      <c r="D497" s="1">
        <v>29</v>
      </c>
      <c r="AC497" s="47" t="s">
        <v>1553</v>
      </c>
      <c r="AD497" s="1103" t="s">
        <v>1846</v>
      </c>
      <c r="AE497" s="831"/>
      <c r="AF497" s="1104"/>
      <c r="AG497" s="47" t="s">
        <v>633</v>
      </c>
      <c r="AH497" s="128">
        <v>0</v>
      </c>
    </row>
    <row r="498" spans="4:43" ht="18" customHeight="1" outlineLevel="1">
      <c r="D498" s="1">
        <v>29</v>
      </c>
      <c r="AC498" s="47" t="s">
        <v>1554</v>
      </c>
      <c r="AD498" s="1103" t="s">
        <v>1556</v>
      </c>
      <c r="AE498" s="831"/>
      <c r="AF498" s="1104"/>
      <c r="AG498" s="47" t="s">
        <v>633</v>
      </c>
      <c r="AH498" s="128">
        <v>0</v>
      </c>
    </row>
    <row r="499" spans="4:43" ht="18" customHeight="1" outlineLevel="1">
      <c r="D499" s="1">
        <v>29</v>
      </c>
      <c r="AC499" s="47" t="s">
        <v>1555</v>
      </c>
      <c r="AD499" s="1103" t="s">
        <v>1847</v>
      </c>
      <c r="AE499" s="831"/>
      <c r="AF499" s="1104"/>
      <c r="AG499" s="47" t="s">
        <v>549</v>
      </c>
      <c r="AH499" s="78">
        <v>0</v>
      </c>
    </row>
    <row r="500" spans="4:43" ht="18" customHeight="1" outlineLevel="1">
      <c r="D500" s="1">
        <v>29</v>
      </c>
      <c r="AC500" s="47" t="s">
        <v>1557</v>
      </c>
      <c r="AD500" s="1103" t="s">
        <v>1848</v>
      </c>
      <c r="AE500" s="831"/>
      <c r="AF500" s="1104"/>
      <c r="AG500" s="47" t="s">
        <v>696</v>
      </c>
      <c r="AH500" s="78">
        <v>0</v>
      </c>
    </row>
    <row r="501" spans="4:43" ht="18" customHeight="1" outlineLevel="1">
      <c r="D501" s="1">
        <v>29</v>
      </c>
      <c r="AC501" s="47" t="s">
        <v>1558</v>
      </c>
      <c r="AD501" s="1103" t="s">
        <v>1849</v>
      </c>
      <c r="AE501" s="831"/>
      <c r="AF501" s="1104"/>
      <c r="AG501" s="47" t="s">
        <v>696</v>
      </c>
      <c r="AH501" s="78">
        <v>0</v>
      </c>
    </row>
    <row r="502" spans="4:43" ht="28.5" customHeight="1" outlineLevel="1">
      <c r="D502" s="1">
        <v>45</v>
      </c>
    </row>
    <row r="503" spans="4:43" ht="28.5" customHeight="1" outlineLevel="1">
      <c r="D503" s="1">
        <v>45</v>
      </c>
      <c r="AB503" s="832" t="s">
        <v>1563</v>
      </c>
      <c r="AC503" s="781"/>
      <c r="AD503" s="781"/>
      <c r="AE503" s="781"/>
      <c r="AF503" s="781"/>
      <c r="AG503" s="781"/>
      <c r="AH503" s="781"/>
      <c r="AI503" s="781"/>
      <c r="AJ503" s="781"/>
      <c r="AK503" s="781"/>
      <c r="AL503" s="781"/>
      <c r="AM503" s="781"/>
      <c r="AN503" s="781"/>
      <c r="AO503" s="781"/>
      <c r="AP503" s="781"/>
      <c r="AQ503" s="781"/>
    </row>
    <row r="504" spans="4:43" ht="28.5" customHeight="1" outlineLevel="1">
      <c r="D504" s="1">
        <v>45</v>
      </c>
      <c r="AC504" s="832" t="s">
        <v>1850</v>
      </c>
      <c r="AD504" s="781"/>
      <c r="AE504" s="781"/>
      <c r="AF504" s="781"/>
      <c r="AG504" s="781"/>
      <c r="AH504" s="781"/>
      <c r="AI504" s="781"/>
      <c r="AJ504" s="781"/>
      <c r="AK504" s="781"/>
      <c r="AL504" s="781"/>
      <c r="AM504" s="781"/>
      <c r="AN504" s="781"/>
      <c r="AO504" s="781"/>
      <c r="AP504" s="781"/>
      <c r="AQ504" s="781"/>
    </row>
    <row r="505" spans="4:43" ht="18" customHeight="1" outlineLevel="1">
      <c r="D505" s="1">
        <v>29</v>
      </c>
      <c r="AB505" s="832" t="s">
        <v>1566</v>
      </c>
      <c r="AC505" s="781"/>
      <c r="AD505" s="781"/>
      <c r="AE505" s="781"/>
      <c r="AF505" s="781"/>
      <c r="AG505" s="781"/>
      <c r="AH505" s="781"/>
      <c r="AI505" s="781"/>
      <c r="AJ505" s="781"/>
      <c r="AK505" s="781"/>
      <c r="AL505" s="781"/>
      <c r="AM505" s="781"/>
      <c r="AN505" s="781"/>
      <c r="AO505" s="781"/>
      <c r="AP505" s="781"/>
      <c r="AQ505" s="781"/>
    </row>
    <row r="506" spans="4:43" ht="28.5" customHeight="1" outlineLevel="1">
      <c r="D506" s="1">
        <v>45</v>
      </c>
      <c r="AB506" s="832" t="s">
        <v>1851</v>
      </c>
      <c r="AC506" s="781"/>
      <c r="AD506" s="781"/>
      <c r="AE506" s="781"/>
      <c r="AF506" s="781"/>
      <c r="AG506" s="781"/>
      <c r="AH506" s="781"/>
      <c r="AI506" s="781"/>
      <c r="AJ506" s="781"/>
      <c r="AK506" s="781"/>
      <c r="AL506" s="781"/>
      <c r="AM506" s="781"/>
      <c r="AN506" s="781"/>
      <c r="AO506" s="781"/>
      <c r="AP506" s="781"/>
      <c r="AQ506" s="781"/>
    </row>
    <row r="507" spans="4:43" ht="28.5" customHeight="1" outlineLevel="1">
      <c r="D507" s="1">
        <v>45</v>
      </c>
      <c r="AB507" s="832" t="s">
        <v>1852</v>
      </c>
      <c r="AC507" s="781"/>
      <c r="AD507" s="781"/>
      <c r="AE507" s="781"/>
      <c r="AF507" s="781"/>
      <c r="AG507" s="781"/>
      <c r="AH507" s="781"/>
      <c r="AI507" s="781"/>
      <c r="AJ507" s="781"/>
      <c r="AK507" s="781"/>
      <c r="AL507" s="781"/>
      <c r="AM507" s="781"/>
      <c r="AN507" s="781"/>
      <c r="AO507" s="781"/>
      <c r="AP507" s="781"/>
      <c r="AQ507" s="781"/>
    </row>
    <row r="508" spans="4:43" ht="28.5" customHeight="1" outlineLevel="1">
      <c r="D508" s="1">
        <v>45</v>
      </c>
      <c r="AB508" s="781"/>
      <c r="AC508" s="781"/>
      <c r="AD508" s="781"/>
      <c r="AE508" s="781"/>
      <c r="AF508" s="781"/>
      <c r="AG508" s="781"/>
      <c r="AH508" s="781"/>
      <c r="AI508" s="781"/>
      <c r="AJ508" s="781"/>
      <c r="AK508" s="781"/>
      <c r="AL508" s="781"/>
      <c r="AM508" s="781"/>
      <c r="AN508" s="781"/>
      <c r="AO508" s="781"/>
      <c r="AP508" s="781"/>
      <c r="AQ508" s="781"/>
    </row>
    <row r="509" spans="4:43" ht="28.5" hidden="1" customHeight="1" outlineLevel="1">
      <c r="D509" s="1">
        <v>0</v>
      </c>
      <c r="AB509" s="781"/>
      <c r="AC509" s="781"/>
      <c r="AD509" s="781"/>
      <c r="AE509" s="781"/>
      <c r="AF509" s="781"/>
      <c r="AG509" s="781"/>
      <c r="AH509" s="781"/>
      <c r="AI509" s="781"/>
      <c r="AJ509" s="781"/>
      <c r="AK509" s="781"/>
      <c r="AL509" s="781"/>
      <c r="AM509" s="781"/>
      <c r="AN509" s="781"/>
      <c r="AO509" s="781"/>
      <c r="AP509" s="781"/>
      <c r="AQ509" s="781"/>
    </row>
    <row r="510" spans="4:43" ht="45" customHeight="1" outlineLevel="1">
      <c r="D510" s="1">
        <v>72</v>
      </c>
      <c r="AC510" s="798"/>
      <c r="AD510" s="798"/>
      <c r="AE510" s="798"/>
      <c r="AF510" s="798"/>
      <c r="AG510" s="798"/>
      <c r="AH510" s="798"/>
      <c r="AI510" s="66" t="s">
        <v>1853</v>
      </c>
      <c r="AJ510" s="66" t="s">
        <v>1854</v>
      </c>
      <c r="AK510" s="1106" t="s">
        <v>1855</v>
      </c>
      <c r="AL510" s="1107"/>
    </row>
    <row r="511" spans="4:43" ht="18.75" customHeight="1" outlineLevel="1">
      <c r="D511" s="1">
        <v>31</v>
      </c>
      <c r="AC511" s="47" t="s">
        <v>632</v>
      </c>
      <c r="AD511" s="797" t="s">
        <v>986</v>
      </c>
      <c r="AE511" s="797"/>
      <c r="AF511" s="797"/>
      <c r="AG511" s="797"/>
      <c r="AH511" s="47" t="s">
        <v>619</v>
      </c>
      <c r="AI511" s="78">
        <v>0</v>
      </c>
      <c r="AJ511" s="78">
        <v>0</v>
      </c>
      <c r="AK511" s="1105">
        <v>0</v>
      </c>
      <c r="AL511" s="1105"/>
    </row>
    <row r="512" spans="4:43" ht="28.5" customHeight="1" outlineLevel="1">
      <c r="D512" s="1">
        <v>45</v>
      </c>
      <c r="AC512" s="47" t="s">
        <v>762</v>
      </c>
      <c r="AD512" s="797" t="s">
        <v>990</v>
      </c>
      <c r="AE512" s="797"/>
      <c r="AF512" s="797"/>
      <c r="AG512" s="797"/>
      <c r="AH512" s="47" t="s">
        <v>619</v>
      </c>
      <c r="AI512" s="78">
        <v>0</v>
      </c>
      <c r="AJ512" s="78">
        <v>0</v>
      </c>
      <c r="AK512" s="1105">
        <v>0</v>
      </c>
      <c r="AL512" s="1105"/>
    </row>
    <row r="513" spans="4:38" ht="17.25" customHeight="1" outlineLevel="1">
      <c r="D513" s="1">
        <v>28</v>
      </c>
      <c r="AC513" s="47" t="s">
        <v>935</v>
      </c>
      <c r="AD513" s="797" t="s">
        <v>991</v>
      </c>
      <c r="AE513" s="797"/>
      <c r="AF513" s="797"/>
      <c r="AG513" s="797"/>
      <c r="AH513" s="47" t="s">
        <v>619</v>
      </c>
      <c r="AI513" s="78">
        <v>0</v>
      </c>
      <c r="AJ513" s="78">
        <v>0</v>
      </c>
      <c r="AK513" s="1105">
        <v>0</v>
      </c>
      <c r="AL513" s="1105"/>
    </row>
    <row r="514" spans="4:38" ht="17.25" customHeight="1" outlineLevel="1">
      <c r="D514" s="1">
        <v>28</v>
      </c>
      <c r="AC514" s="47" t="s">
        <v>936</v>
      </c>
      <c r="AD514" s="797" t="s">
        <v>992</v>
      </c>
      <c r="AE514" s="797"/>
      <c r="AF514" s="797"/>
      <c r="AG514" s="797"/>
      <c r="AH514" s="47" t="s">
        <v>619</v>
      </c>
      <c r="AI514" s="78">
        <v>0</v>
      </c>
      <c r="AJ514" s="78">
        <v>0</v>
      </c>
      <c r="AK514" s="1105">
        <v>0</v>
      </c>
      <c r="AL514" s="1105"/>
    </row>
    <row r="515" spans="4:38" ht="17.25" customHeight="1" outlineLevel="1">
      <c r="D515" s="1">
        <v>28</v>
      </c>
      <c r="AC515" s="47" t="s">
        <v>763</v>
      </c>
      <c r="AD515" s="797" t="s">
        <v>993</v>
      </c>
      <c r="AE515" s="797"/>
      <c r="AF515" s="797"/>
      <c r="AG515" s="797"/>
      <c r="AH515" s="47" t="s">
        <v>619</v>
      </c>
      <c r="AI515" s="78">
        <v>0</v>
      </c>
      <c r="AJ515" s="78">
        <v>0</v>
      </c>
      <c r="AK515" s="1105">
        <v>0</v>
      </c>
      <c r="AL515" s="1105"/>
    </row>
    <row r="516" spans="4:38" ht="17.25" customHeight="1" outlineLevel="1">
      <c r="D516" s="1">
        <v>28</v>
      </c>
      <c r="AC516" s="47" t="s">
        <v>765</v>
      </c>
      <c r="AD516" s="797" t="s">
        <v>576</v>
      </c>
      <c r="AE516" s="797"/>
      <c r="AF516" s="797"/>
      <c r="AG516" s="797"/>
      <c r="AH516" s="47" t="s">
        <v>619</v>
      </c>
      <c r="AI516" s="78">
        <v>0</v>
      </c>
      <c r="AJ516" s="78">
        <v>0</v>
      </c>
      <c r="AK516" s="1105">
        <v>0</v>
      </c>
      <c r="AL516" s="1105"/>
    </row>
    <row r="517" spans="4:38" ht="17.25" customHeight="1" outlineLevel="1">
      <c r="D517" s="1">
        <v>28</v>
      </c>
      <c r="AC517" s="47" t="s">
        <v>770</v>
      </c>
      <c r="AD517" s="797" t="s">
        <v>996</v>
      </c>
      <c r="AE517" s="797"/>
      <c r="AF517" s="797"/>
      <c r="AG517" s="797"/>
      <c r="AH517" s="47" t="s">
        <v>619</v>
      </c>
      <c r="AI517" s="78">
        <v>0</v>
      </c>
      <c r="AJ517" s="78">
        <v>0</v>
      </c>
      <c r="AK517" s="1105">
        <v>0</v>
      </c>
      <c r="AL517" s="1105"/>
    </row>
    <row r="518" spans="4:38" ht="17.25" customHeight="1" outlineLevel="1">
      <c r="D518" s="1">
        <v>28</v>
      </c>
      <c r="AC518" s="47" t="s">
        <v>907</v>
      </c>
      <c r="AD518" s="797" t="s">
        <v>482</v>
      </c>
      <c r="AE518" s="797"/>
      <c r="AF518" s="797"/>
      <c r="AG518" s="797"/>
      <c r="AH518" s="47" t="s">
        <v>619</v>
      </c>
      <c r="AI518" s="78">
        <v>0</v>
      </c>
      <c r="AJ518" s="78">
        <v>0</v>
      </c>
      <c r="AK518" s="1105">
        <v>0</v>
      </c>
      <c r="AL518" s="1105"/>
    </row>
    <row r="519" spans="4:38" ht="17.25" customHeight="1" outlineLevel="1">
      <c r="D519" s="1">
        <v>28</v>
      </c>
      <c r="AC519" s="47" t="s">
        <v>908</v>
      </c>
      <c r="AD519" s="797" t="s">
        <v>999</v>
      </c>
      <c r="AE519" s="797"/>
      <c r="AF519" s="797"/>
      <c r="AG519" s="797"/>
      <c r="AH519" s="47" t="s">
        <v>619</v>
      </c>
      <c r="AI519" s="78">
        <v>0</v>
      </c>
      <c r="AJ519" s="78">
        <v>0</v>
      </c>
      <c r="AK519" s="1105">
        <v>0</v>
      </c>
      <c r="AL519" s="1105"/>
    </row>
    <row r="520" spans="4:38" ht="15" customHeight="1" outlineLevel="1">
      <c r="D520" s="1">
        <v>24</v>
      </c>
      <c r="AC520" s="47" t="s">
        <v>909</v>
      </c>
      <c r="AD520" s="797" t="s">
        <v>1569</v>
      </c>
      <c r="AE520" s="797"/>
      <c r="AF520" s="797"/>
      <c r="AG520" s="797"/>
      <c r="AH520" s="47" t="s">
        <v>619</v>
      </c>
      <c r="AI520" s="78">
        <v>0</v>
      </c>
      <c r="AJ520" s="78">
        <v>0</v>
      </c>
      <c r="AK520" s="1105">
        <v>0</v>
      </c>
      <c r="AL520" s="1105"/>
    </row>
    <row r="521" spans="4:38" ht="15" customHeight="1" outlineLevel="1">
      <c r="D521" s="1">
        <v>24</v>
      </c>
      <c r="AC521" s="47" t="s">
        <v>910</v>
      </c>
      <c r="AD521" s="797" t="s">
        <v>1000</v>
      </c>
      <c r="AE521" s="797"/>
      <c r="AF521" s="797"/>
      <c r="AG521" s="797"/>
      <c r="AH521" s="47" t="s">
        <v>619</v>
      </c>
      <c r="AI521" s="78">
        <v>0</v>
      </c>
      <c r="AJ521" s="78">
        <v>0</v>
      </c>
      <c r="AK521" s="1105">
        <v>0</v>
      </c>
      <c r="AL521" s="1105"/>
    </row>
    <row r="522" spans="4:38" ht="21.75" customHeight="1" outlineLevel="1">
      <c r="D522" s="1">
        <v>36</v>
      </c>
      <c r="AC522" s="47" t="s">
        <v>982</v>
      </c>
      <c r="AD522" s="797" t="s">
        <v>1002</v>
      </c>
      <c r="AE522" s="797"/>
      <c r="AF522" s="797"/>
      <c r="AG522" s="797"/>
      <c r="AH522" s="47" t="s">
        <v>619</v>
      </c>
      <c r="AI522" s="78">
        <v>0</v>
      </c>
      <c r="AJ522" s="78">
        <v>0</v>
      </c>
      <c r="AK522" s="1105">
        <v>0</v>
      </c>
      <c r="AL522" s="1105"/>
    </row>
    <row r="523" spans="4:38" ht="87.75" customHeight="1" outlineLevel="1">
      <c r="D523" s="1">
        <v>141</v>
      </c>
      <c r="AC523" s="47" t="s">
        <v>983</v>
      </c>
      <c r="AD523" s="797" t="s">
        <v>1007</v>
      </c>
      <c r="AE523" s="797"/>
      <c r="AF523" s="797"/>
      <c r="AG523" s="797"/>
      <c r="AH523" s="47" t="s">
        <v>619</v>
      </c>
      <c r="AI523" s="78">
        <v>0</v>
      </c>
      <c r="AJ523" s="78">
        <v>0</v>
      </c>
      <c r="AK523" s="1105">
        <v>0</v>
      </c>
      <c r="AL523" s="1105"/>
    </row>
    <row r="524" spans="4:38" ht="44.25" customHeight="1" outlineLevel="1">
      <c r="D524" s="1">
        <v>71</v>
      </c>
      <c r="AC524" s="47" t="s">
        <v>1243</v>
      </c>
      <c r="AD524" s="797" t="s">
        <v>1004</v>
      </c>
      <c r="AE524" s="797"/>
      <c r="AF524" s="797"/>
      <c r="AG524" s="797"/>
      <c r="AH524" s="47" t="s">
        <v>619</v>
      </c>
      <c r="AI524" s="78">
        <v>0</v>
      </c>
      <c r="AJ524" s="78">
        <v>0</v>
      </c>
      <c r="AK524" s="1105">
        <v>0</v>
      </c>
      <c r="AL524" s="1105"/>
    </row>
    <row r="525" spans="4:38" ht="38.25" customHeight="1" outlineLevel="1">
      <c r="D525" s="1">
        <v>61</v>
      </c>
      <c r="AC525" s="47" t="s">
        <v>1856</v>
      </c>
      <c r="AD525" s="797" t="s">
        <v>1857</v>
      </c>
      <c r="AE525" s="797"/>
      <c r="AF525" s="797"/>
      <c r="AG525" s="797"/>
      <c r="AH525" s="47" t="s">
        <v>619</v>
      </c>
      <c r="AI525" s="78">
        <v>0</v>
      </c>
      <c r="AJ525" s="78">
        <v>0</v>
      </c>
      <c r="AK525" s="1105">
        <v>0</v>
      </c>
      <c r="AL525" s="1105"/>
    </row>
    <row r="526" spans="4:38" ht="11.25" customHeight="1" outlineLevel="1">
      <c r="D526" s="1">
        <v>18</v>
      </c>
      <c r="AC526" s="47" t="s">
        <v>1858</v>
      </c>
      <c r="AD526" s="797" t="s">
        <v>577</v>
      </c>
      <c r="AE526" s="797"/>
      <c r="AF526" s="797"/>
      <c r="AG526" s="797"/>
      <c r="AH526" s="47" t="s">
        <v>619</v>
      </c>
      <c r="AI526" s="78">
        <v>0</v>
      </c>
      <c r="AJ526" s="78">
        <v>0</v>
      </c>
      <c r="AK526" s="1105">
        <v>0</v>
      </c>
      <c r="AL526" s="1105"/>
    </row>
    <row r="527" spans="4:38" ht="11.25" customHeight="1" outlineLevel="1">
      <c r="D527" s="1">
        <v>18</v>
      </c>
      <c r="AC527" s="47"/>
      <c r="AD527" s="1108" t="s">
        <v>277</v>
      </c>
      <c r="AE527" s="1108"/>
      <c r="AF527" s="1108"/>
      <c r="AG527" s="1108"/>
      <c r="AH527" s="141" t="s">
        <v>619</v>
      </c>
      <c r="AI527" s="1109">
        <v>0</v>
      </c>
      <c r="AJ527" s="1110"/>
      <c r="AK527" s="1110"/>
      <c r="AL527" s="1111"/>
    </row>
    <row r="528" spans="4:38" ht="11.25" customHeight="1" outlineLevel="1">
      <c r="D528" s="1">
        <v>18</v>
      </c>
    </row>
    <row r="529" spans="4:43" ht="11.25" hidden="1" customHeight="1" outlineLevel="1">
      <c r="D529" s="1">
        <v>0</v>
      </c>
    </row>
    <row r="530" spans="4:43" ht="18.75" customHeight="1" outlineLevel="1">
      <c r="D530" s="1">
        <v>31</v>
      </c>
      <c r="AB530" s="832" t="s">
        <v>1570</v>
      </c>
      <c r="AC530" s="781"/>
      <c r="AD530" s="781"/>
      <c r="AE530" s="781"/>
      <c r="AF530" s="781"/>
      <c r="AG530" s="781"/>
      <c r="AH530" s="781"/>
      <c r="AI530" s="781"/>
      <c r="AJ530" s="781"/>
      <c r="AK530" s="781"/>
      <c r="AL530" s="781"/>
      <c r="AM530" s="781"/>
      <c r="AN530" s="781"/>
      <c r="AO530" s="781"/>
      <c r="AP530" s="781"/>
      <c r="AQ530" s="781"/>
    </row>
    <row r="531" spans="4:43" ht="28.5" customHeight="1" outlineLevel="1">
      <c r="D531" s="1">
        <v>45</v>
      </c>
      <c r="AC531" s="832" t="s">
        <v>1859</v>
      </c>
      <c r="AD531" s="781"/>
      <c r="AE531" s="781"/>
      <c r="AF531" s="781"/>
      <c r="AG531" s="781"/>
      <c r="AH531" s="781"/>
      <c r="AI531" s="781"/>
      <c r="AJ531" s="781"/>
      <c r="AK531" s="781"/>
      <c r="AL531" s="781"/>
      <c r="AM531" s="781"/>
      <c r="AN531" s="781"/>
      <c r="AO531" s="781"/>
      <c r="AP531" s="781"/>
      <c r="AQ531" s="781"/>
    </row>
    <row r="532" spans="4:43" ht="28.5" customHeight="1" outlineLevel="1">
      <c r="D532" s="1">
        <v>45</v>
      </c>
      <c r="AB532" s="832" t="s">
        <v>1860</v>
      </c>
      <c r="AC532" s="781"/>
      <c r="AD532" s="781"/>
      <c r="AE532" s="781"/>
      <c r="AF532" s="781"/>
      <c r="AG532" s="781"/>
      <c r="AH532" s="781"/>
      <c r="AI532" s="781"/>
      <c r="AJ532" s="781"/>
      <c r="AK532" s="781"/>
      <c r="AL532" s="781"/>
      <c r="AM532" s="781"/>
      <c r="AN532" s="781"/>
      <c r="AO532" s="781"/>
      <c r="AP532" s="781"/>
      <c r="AQ532" s="781"/>
    </row>
    <row r="533" spans="4:43" ht="28.5" customHeight="1" outlineLevel="1">
      <c r="D533" s="1">
        <v>45</v>
      </c>
      <c r="AB533" s="781"/>
      <c r="AC533" s="781"/>
      <c r="AD533" s="781"/>
      <c r="AE533" s="781"/>
      <c r="AF533" s="781"/>
      <c r="AG533" s="781"/>
      <c r="AH533" s="781"/>
      <c r="AI533" s="781"/>
      <c r="AJ533" s="781"/>
      <c r="AK533" s="781"/>
      <c r="AL533" s="781"/>
      <c r="AM533" s="781"/>
      <c r="AN533" s="781"/>
      <c r="AO533" s="781"/>
      <c r="AP533" s="781"/>
      <c r="AQ533" s="781"/>
    </row>
    <row r="534" spans="4:43" ht="28.5" customHeight="1" outlineLevel="1">
      <c r="D534" s="1">
        <v>45</v>
      </c>
      <c r="AB534" s="1038"/>
      <c r="AC534" s="1038"/>
      <c r="AD534" s="1038"/>
      <c r="AE534" s="1038"/>
      <c r="AF534" s="1038"/>
      <c r="AG534" s="1038"/>
      <c r="AH534" s="1038"/>
      <c r="AI534" s="1038"/>
      <c r="AJ534" s="1038"/>
      <c r="AK534" s="1038"/>
      <c r="AL534" s="1038"/>
      <c r="AM534" s="1038"/>
      <c r="AN534" s="1038"/>
      <c r="AO534" s="1038"/>
      <c r="AP534" s="1038"/>
      <c r="AQ534" s="1038"/>
    </row>
    <row r="535" spans="4:43" ht="28.5" customHeight="1" outlineLevel="1">
      <c r="D535" s="1">
        <v>45</v>
      </c>
      <c r="AB535" s="1038"/>
      <c r="AC535" s="1038"/>
      <c r="AD535" s="1038"/>
      <c r="AE535" s="1038"/>
      <c r="AF535" s="1038"/>
      <c r="AG535" s="1038"/>
      <c r="AH535" s="1038"/>
      <c r="AI535" s="1038"/>
      <c r="AJ535" s="1038"/>
      <c r="AK535" s="1038"/>
      <c r="AL535" s="1038"/>
      <c r="AM535" s="1038"/>
      <c r="AN535" s="1038"/>
      <c r="AO535" s="1038"/>
      <c r="AP535" s="1038"/>
      <c r="AQ535" s="1038"/>
    </row>
    <row r="536" spans="4:43" ht="11.25" hidden="1" customHeight="1" outlineLevel="1">
      <c r="D536" s="1">
        <v>0</v>
      </c>
    </row>
    <row r="537" spans="4:43" ht="11.25" customHeight="1" outlineLevel="1">
      <c r="D537" s="1">
        <v>18</v>
      </c>
      <c r="AB537" s="375"/>
      <c r="AC537" s="375"/>
      <c r="AD537" s="375"/>
      <c r="AE537" s="375"/>
      <c r="AF537" s="375"/>
      <c r="AG537" s="375"/>
      <c r="AH537" s="375"/>
      <c r="AI537" s="375"/>
      <c r="AJ537" s="375"/>
      <c r="AK537" s="375"/>
      <c r="AL537" s="375"/>
      <c r="AM537" s="375"/>
      <c r="AN537" s="375"/>
      <c r="AO537" s="375"/>
      <c r="AP537" s="375"/>
      <c r="AQ537" s="375"/>
    </row>
    <row r="538" spans="4:43" ht="11.25" customHeight="1" outlineLevel="1">
      <c r="D538" s="1">
        <v>18</v>
      </c>
      <c r="AB538" s="375"/>
      <c r="AC538" s="375"/>
      <c r="AD538" s="375"/>
      <c r="AE538" s="375"/>
      <c r="AF538" s="375"/>
      <c r="AG538" s="375"/>
      <c r="AH538" s="375"/>
      <c r="AI538" s="375"/>
      <c r="AJ538" s="375"/>
      <c r="AK538" s="375"/>
      <c r="AL538" s="375"/>
      <c r="AM538" s="375"/>
      <c r="AN538" s="375"/>
      <c r="AO538" s="375"/>
      <c r="AP538" s="375"/>
      <c r="AQ538" s="375"/>
    </row>
    <row r="539" spans="4:43" ht="11.25" customHeight="1" outlineLevel="1">
      <c r="D539" s="1">
        <v>18</v>
      </c>
      <c r="AB539" s="375"/>
      <c r="AC539" s="375"/>
      <c r="AD539" s="375"/>
      <c r="AE539" s="375"/>
      <c r="AF539" s="375"/>
      <c r="AG539" s="375"/>
      <c r="AH539" s="375"/>
      <c r="AI539" s="375"/>
      <c r="AJ539" s="375"/>
      <c r="AK539" s="375"/>
      <c r="AL539" s="375"/>
      <c r="AM539" s="375"/>
      <c r="AN539" s="375"/>
      <c r="AO539" s="375"/>
      <c r="AP539" s="375"/>
      <c r="AQ539" s="375"/>
    </row>
    <row r="540" spans="4:43" ht="11.25" customHeight="1" outlineLevel="1">
      <c r="D540" s="1">
        <v>18</v>
      </c>
      <c r="AB540" s="375"/>
      <c r="AC540" s="375"/>
      <c r="AD540" s="375"/>
      <c r="AE540" s="375"/>
      <c r="AF540" s="375"/>
      <c r="AG540" s="375"/>
      <c r="AH540" s="375"/>
      <c r="AI540" s="375"/>
      <c r="AJ540" s="375"/>
      <c r="AK540" s="375"/>
      <c r="AL540" s="375"/>
      <c r="AM540" s="375"/>
      <c r="AN540" s="375"/>
      <c r="AO540" s="375"/>
      <c r="AP540" s="375"/>
      <c r="AQ540" s="375"/>
    </row>
    <row r="541" spans="4:43" ht="11.25" customHeight="1" outlineLevel="1">
      <c r="D541" s="1">
        <v>18</v>
      </c>
      <c r="AB541" s="375"/>
      <c r="AC541" s="375"/>
      <c r="AD541" s="375"/>
      <c r="AE541" s="375"/>
      <c r="AF541" s="375"/>
      <c r="AG541" s="375"/>
      <c r="AH541" s="375"/>
      <c r="AI541" s="375"/>
      <c r="AJ541" s="375"/>
      <c r="AK541" s="375"/>
      <c r="AL541" s="375"/>
      <c r="AM541" s="375"/>
      <c r="AN541" s="375"/>
      <c r="AO541" s="375"/>
      <c r="AP541" s="375"/>
      <c r="AQ541" s="375"/>
    </row>
    <row r="542" spans="4:43" ht="11.25" customHeight="1" outlineLevel="1">
      <c r="D542" s="1">
        <v>18</v>
      </c>
      <c r="AB542" s="375"/>
      <c r="AC542" s="375"/>
      <c r="AD542" s="375"/>
      <c r="AE542" s="375"/>
      <c r="AF542" s="375"/>
      <c r="AG542" s="375"/>
      <c r="AH542" s="375"/>
      <c r="AI542" s="375"/>
      <c r="AJ542" s="375"/>
      <c r="AK542" s="375"/>
      <c r="AL542" s="375"/>
      <c r="AM542" s="375"/>
      <c r="AN542" s="375"/>
      <c r="AO542" s="375"/>
      <c r="AP542" s="375"/>
      <c r="AQ542" s="375"/>
    </row>
    <row r="543" spans="4:43" ht="11.25" customHeight="1" outlineLevel="1">
      <c r="D543" s="1">
        <v>18</v>
      </c>
      <c r="AB543" s="375"/>
      <c r="AC543" s="375"/>
      <c r="AD543" s="375"/>
      <c r="AE543" s="375"/>
      <c r="AF543" s="375"/>
      <c r="AG543" s="375"/>
      <c r="AH543" s="375"/>
      <c r="AI543" s="375"/>
      <c r="AJ543" s="375"/>
      <c r="AK543" s="375"/>
      <c r="AL543" s="375"/>
      <c r="AM543" s="375"/>
      <c r="AN543" s="375"/>
      <c r="AO543" s="375"/>
      <c r="AP543" s="375"/>
      <c r="AQ543" s="375"/>
    </row>
    <row r="544" spans="4:43" ht="11.25" customHeight="1" outlineLevel="1">
      <c r="D544" s="1">
        <v>18</v>
      </c>
      <c r="AB544" s="375"/>
      <c r="AC544" s="375"/>
      <c r="AD544" s="375"/>
      <c r="AE544" s="375"/>
      <c r="AF544" s="375"/>
      <c r="AG544" s="375"/>
      <c r="AH544" s="375"/>
      <c r="AI544" s="375"/>
      <c r="AJ544" s="375"/>
      <c r="AK544" s="375"/>
      <c r="AL544" s="375"/>
      <c r="AM544" s="375"/>
      <c r="AN544" s="375"/>
      <c r="AO544" s="375"/>
      <c r="AP544" s="375"/>
      <c r="AQ544" s="375"/>
    </row>
    <row r="545" spans="4:43" ht="11.25" customHeight="1" outlineLevel="1">
      <c r="D545" s="1">
        <v>18</v>
      </c>
      <c r="AB545" s="375"/>
      <c r="AC545" s="375"/>
      <c r="AD545" s="375"/>
      <c r="AE545" s="375"/>
      <c r="AF545" s="375"/>
      <c r="AG545" s="375"/>
      <c r="AH545" s="375"/>
      <c r="AI545" s="375"/>
      <c r="AJ545" s="375"/>
      <c r="AK545" s="375"/>
      <c r="AL545" s="375"/>
      <c r="AM545" s="375"/>
      <c r="AN545" s="375"/>
      <c r="AO545" s="375"/>
      <c r="AP545" s="375"/>
      <c r="AQ545" s="375"/>
    </row>
    <row r="546" spans="4:43" ht="11.25" customHeight="1" outlineLevel="1">
      <c r="D546" s="1">
        <v>18</v>
      </c>
      <c r="AB546" s="375"/>
      <c r="AC546" s="375"/>
      <c r="AD546" s="375"/>
      <c r="AE546" s="375"/>
      <c r="AF546" s="375"/>
      <c r="AG546" s="375"/>
      <c r="AH546" s="375"/>
      <c r="AI546" s="375"/>
      <c r="AJ546" s="375"/>
      <c r="AK546" s="375"/>
      <c r="AL546" s="375"/>
      <c r="AM546" s="375"/>
      <c r="AN546" s="375"/>
      <c r="AO546" s="375"/>
      <c r="AP546" s="375"/>
      <c r="AQ546" s="375"/>
    </row>
    <row r="547" spans="4:43" ht="11.25" customHeight="1" outlineLevel="1">
      <c r="D547" s="1">
        <v>18</v>
      </c>
      <c r="AB547" s="375"/>
      <c r="AC547" s="375"/>
      <c r="AD547" s="375"/>
      <c r="AE547" s="375"/>
      <c r="AF547" s="375"/>
      <c r="AG547" s="375"/>
      <c r="AH547" s="375"/>
      <c r="AI547" s="375"/>
      <c r="AJ547" s="375"/>
      <c r="AK547" s="375"/>
      <c r="AL547" s="375"/>
      <c r="AM547" s="375"/>
      <c r="AN547" s="375"/>
      <c r="AO547" s="375"/>
      <c r="AP547" s="375"/>
      <c r="AQ547" s="375"/>
    </row>
    <row r="548" spans="4:43" ht="11.25" customHeight="1" outlineLevel="1">
      <c r="D548" s="1">
        <v>18</v>
      </c>
      <c r="AB548" s="375"/>
      <c r="AC548" s="375"/>
      <c r="AD548" s="375"/>
      <c r="AE548" s="375"/>
      <c r="AF548" s="375"/>
      <c r="AG548" s="375"/>
      <c r="AH548" s="375"/>
      <c r="AI548" s="375"/>
      <c r="AJ548" s="375"/>
      <c r="AK548" s="375"/>
      <c r="AL548" s="375"/>
      <c r="AM548" s="375"/>
      <c r="AN548" s="375"/>
      <c r="AO548" s="375"/>
      <c r="AP548" s="375"/>
      <c r="AQ548" s="375"/>
    </row>
    <row r="549" spans="4:43" ht="11.25" customHeight="1" outlineLevel="1">
      <c r="D549" s="1">
        <v>18</v>
      </c>
      <c r="AB549" s="375"/>
      <c r="AC549" s="375"/>
      <c r="AD549" s="375"/>
      <c r="AE549" s="375"/>
      <c r="AF549" s="375"/>
      <c r="AG549" s="375"/>
      <c r="AH549" s="375"/>
      <c r="AI549" s="375"/>
      <c r="AJ549" s="375"/>
      <c r="AK549" s="375"/>
      <c r="AL549" s="375"/>
      <c r="AM549" s="375"/>
      <c r="AN549" s="375"/>
      <c r="AO549" s="375"/>
      <c r="AP549" s="375"/>
      <c r="AQ549" s="375"/>
    </row>
    <row r="550" spans="4:43" ht="11.25" customHeight="1" outlineLevel="1">
      <c r="D550" s="1">
        <v>18</v>
      </c>
      <c r="AB550" s="375"/>
      <c r="AC550" s="375"/>
      <c r="AD550" s="375"/>
      <c r="AE550" s="375"/>
      <c r="AF550" s="375"/>
      <c r="AG550" s="375"/>
      <c r="AH550" s="375"/>
      <c r="AI550" s="375"/>
      <c r="AJ550" s="375"/>
      <c r="AK550" s="375"/>
      <c r="AL550" s="375"/>
      <c r="AM550" s="375"/>
      <c r="AN550" s="375"/>
      <c r="AO550" s="375"/>
      <c r="AP550" s="375"/>
      <c r="AQ550" s="375"/>
    </row>
    <row r="551" spans="4:43" ht="11.25" customHeight="1" outlineLevel="1">
      <c r="D551" s="1">
        <v>18</v>
      </c>
      <c r="AB551" s="375"/>
      <c r="AC551" s="375"/>
      <c r="AD551" s="375"/>
      <c r="AE551" s="375"/>
      <c r="AF551" s="375"/>
      <c r="AG551" s="375"/>
      <c r="AH551" s="375"/>
      <c r="AI551" s="375"/>
      <c r="AJ551" s="375"/>
      <c r="AK551" s="375"/>
      <c r="AL551" s="375"/>
      <c r="AM551" s="375"/>
      <c r="AN551" s="375"/>
      <c r="AO551" s="375"/>
      <c r="AP551" s="375"/>
      <c r="AQ551" s="375"/>
    </row>
    <row r="552" spans="4:43" ht="11.25" customHeight="1" outlineLevel="1">
      <c r="D552" s="1">
        <v>18</v>
      </c>
      <c r="AB552" s="375"/>
      <c r="AC552" s="375"/>
      <c r="AD552" s="375"/>
      <c r="AE552" s="375"/>
      <c r="AF552" s="375"/>
      <c r="AG552" s="375"/>
      <c r="AH552" s="375"/>
      <c r="AI552" s="375"/>
      <c r="AJ552" s="375"/>
      <c r="AK552" s="375"/>
      <c r="AL552" s="375"/>
      <c r="AM552" s="375"/>
      <c r="AN552" s="375"/>
      <c r="AO552" s="375"/>
      <c r="AP552" s="375"/>
      <c r="AQ552" s="375"/>
    </row>
    <row r="553" spans="4:43" ht="11.25" customHeight="1" outlineLevel="1">
      <c r="D553" s="1">
        <v>18</v>
      </c>
      <c r="AB553" s="375"/>
      <c r="AC553" s="375"/>
      <c r="AD553" s="375"/>
      <c r="AE553" s="375"/>
      <c r="AF553" s="375"/>
      <c r="AG553" s="375"/>
      <c r="AH553" s="375"/>
      <c r="AI553" s="375"/>
      <c r="AJ553" s="375"/>
      <c r="AK553" s="375"/>
      <c r="AL553" s="375"/>
      <c r="AM553" s="375"/>
      <c r="AN553" s="375"/>
      <c r="AO553" s="375"/>
      <c r="AP553" s="375"/>
      <c r="AQ553" s="375"/>
    </row>
    <row r="554" spans="4:43" ht="11.25" hidden="1" customHeight="1" outlineLevel="1">
      <c r="D554" s="1">
        <v>0</v>
      </c>
    </row>
    <row r="555" spans="4:43" ht="18.75" customHeight="1" outlineLevel="1">
      <c r="D555" s="1">
        <v>31</v>
      </c>
      <c r="AB555" s="832" t="s">
        <v>1577</v>
      </c>
      <c r="AC555" s="781"/>
      <c r="AD555" s="781"/>
      <c r="AE555" s="781"/>
      <c r="AF555" s="781"/>
      <c r="AG555" s="781"/>
      <c r="AH555" s="781"/>
      <c r="AI555" s="781"/>
      <c r="AJ555" s="781"/>
      <c r="AK555" s="781"/>
      <c r="AL555" s="781"/>
      <c r="AM555" s="781"/>
      <c r="AN555" s="781"/>
      <c r="AO555" s="781"/>
      <c r="AP555" s="781"/>
      <c r="AQ555" s="781"/>
    </row>
    <row r="556" spans="4:43" ht="40.5" customHeight="1" outlineLevel="1">
      <c r="D556" s="1">
        <v>64</v>
      </c>
      <c r="AB556" s="832" t="s">
        <v>1578</v>
      </c>
      <c r="AC556" s="781"/>
      <c r="AD556" s="781"/>
      <c r="AE556" s="781"/>
      <c r="AF556" s="781"/>
      <c r="AG556" s="781"/>
      <c r="AH556" s="781"/>
      <c r="AI556" s="781"/>
      <c r="AJ556" s="781"/>
      <c r="AK556" s="781"/>
      <c r="AL556" s="781"/>
      <c r="AM556" s="781"/>
      <c r="AN556" s="781"/>
      <c r="AO556" s="781"/>
      <c r="AP556" s="781"/>
      <c r="AQ556" s="781"/>
    </row>
    <row r="557" spans="4:43" ht="18.75" customHeight="1" outlineLevel="1">
      <c r="D557" s="1">
        <v>31</v>
      </c>
      <c r="AB557" s="832" t="s">
        <v>1579</v>
      </c>
      <c r="AC557" s="781"/>
      <c r="AD557" s="781"/>
      <c r="AE557" s="781"/>
      <c r="AF557" s="781"/>
      <c r="AG557" s="781"/>
      <c r="AH557" s="781"/>
      <c r="AI557" s="781"/>
      <c r="AJ557" s="781"/>
      <c r="AK557" s="781"/>
      <c r="AL557" s="781"/>
      <c r="AM557" s="781"/>
      <c r="AN557" s="781"/>
      <c r="AO557" s="781"/>
      <c r="AP557" s="781"/>
      <c r="AQ557" s="781"/>
    </row>
    <row r="558" spans="4:43" ht="18.75" customHeight="1" outlineLevel="1">
      <c r="D558" s="1">
        <v>31</v>
      </c>
      <c r="AB558" s="781"/>
      <c r="AC558" s="781"/>
      <c r="AD558" s="781"/>
      <c r="AE558" s="781"/>
      <c r="AF558" s="781"/>
      <c r="AG558" s="781"/>
      <c r="AH558" s="781"/>
      <c r="AI558" s="781"/>
      <c r="AJ558" s="781"/>
      <c r="AK558" s="781"/>
      <c r="AL558" s="781"/>
      <c r="AM558" s="781"/>
      <c r="AN558" s="781"/>
      <c r="AO558" s="781"/>
      <c r="AP558" s="781"/>
      <c r="AQ558" s="781"/>
    </row>
    <row r="559" spans="4:43" ht="18.75" hidden="1" customHeight="1" outlineLevel="1">
      <c r="D559" s="1">
        <v>0</v>
      </c>
      <c r="AB559" s="781"/>
      <c r="AC559" s="781"/>
      <c r="AD559" s="781"/>
      <c r="AE559" s="781"/>
      <c r="AF559" s="781"/>
      <c r="AG559" s="781"/>
      <c r="AH559" s="781"/>
      <c r="AI559" s="781"/>
      <c r="AJ559" s="781"/>
      <c r="AK559" s="781"/>
      <c r="AL559" s="781"/>
      <c r="AM559" s="781"/>
      <c r="AN559" s="781"/>
      <c r="AO559" s="781"/>
      <c r="AP559" s="781"/>
      <c r="AQ559" s="781"/>
    </row>
    <row r="560" spans="4:43" ht="18.75" hidden="1" customHeight="1" outlineLevel="1">
      <c r="D560" s="1">
        <v>0</v>
      </c>
    </row>
    <row r="561" spans="4:43" ht="26.25" customHeight="1" outlineLevel="1">
      <c r="D561" s="1">
        <v>42</v>
      </c>
      <c r="AC561" s="47" t="s">
        <v>625</v>
      </c>
      <c r="AD561" s="1112" t="s">
        <v>1580</v>
      </c>
      <c r="AE561" s="1113"/>
      <c r="AF561" s="1114"/>
      <c r="AG561" s="47" t="s">
        <v>619</v>
      </c>
      <c r="AH561" s="78">
        <v>0</v>
      </c>
    </row>
    <row r="562" spans="4:43" ht="27.75" customHeight="1" outlineLevel="1">
      <c r="D562" s="1">
        <v>45</v>
      </c>
      <c r="AC562" s="47" t="s">
        <v>1221</v>
      </c>
      <c r="AD562" s="1112" t="s">
        <v>1861</v>
      </c>
      <c r="AE562" s="1113"/>
      <c r="AF562" s="1114"/>
      <c r="AG562" s="47" t="s">
        <v>916</v>
      </c>
      <c r="AH562" s="78">
        <v>0</v>
      </c>
    </row>
    <row r="563" spans="4:43" ht="26.25" customHeight="1" outlineLevel="1">
      <c r="D563" s="1">
        <v>42</v>
      </c>
      <c r="AC563" s="47" t="s">
        <v>1222</v>
      </c>
      <c r="AD563" s="1112" t="s">
        <v>1862</v>
      </c>
      <c r="AE563" s="1113"/>
      <c r="AF563" s="1114"/>
      <c r="AG563" s="47" t="s">
        <v>916</v>
      </c>
      <c r="AH563" s="78">
        <v>0</v>
      </c>
    </row>
    <row r="564" spans="4:43" ht="24" customHeight="1" outlineLevel="1">
      <c r="D564" s="1">
        <v>39</v>
      </c>
      <c r="AC564" s="47" t="s">
        <v>1230</v>
      </c>
      <c r="AD564" s="1112" t="s">
        <v>1863</v>
      </c>
      <c r="AE564" s="1113"/>
      <c r="AF564" s="1114"/>
      <c r="AG564" s="47" t="s">
        <v>1581</v>
      </c>
      <c r="AH564" s="78">
        <v>0</v>
      </c>
    </row>
    <row r="565" spans="4:43" ht="37.5" customHeight="1" outlineLevel="1">
      <c r="D565" s="1">
        <v>61</v>
      </c>
      <c r="AC565" s="47" t="s">
        <v>1231</v>
      </c>
      <c r="AD565" s="1112" t="s">
        <v>1864</v>
      </c>
      <c r="AE565" s="1113"/>
      <c r="AF565" s="1114"/>
      <c r="AG565" s="47" t="s">
        <v>633</v>
      </c>
      <c r="AH565" s="128">
        <v>0</v>
      </c>
    </row>
    <row r="566" spans="4:43" ht="30" customHeight="1" outlineLevel="1">
      <c r="D566" s="1">
        <v>48</v>
      </c>
      <c r="AC566" s="47" t="s">
        <v>1232</v>
      </c>
      <c r="AD566" s="1112" t="s">
        <v>1865</v>
      </c>
      <c r="AE566" s="1113"/>
      <c r="AF566" s="1114"/>
      <c r="AG566" s="47" t="s">
        <v>1581</v>
      </c>
      <c r="AH566" s="78">
        <v>0</v>
      </c>
    </row>
    <row r="567" spans="4:43" ht="11.25" customHeight="1" outlineLevel="1">
      <c r="D567" s="1">
        <v>18</v>
      </c>
    </row>
    <row r="568" spans="4:43" ht="18.75" customHeight="1" outlineLevel="1">
      <c r="D568" s="1">
        <v>31</v>
      </c>
      <c r="AB568" s="832" t="s">
        <v>1866</v>
      </c>
      <c r="AC568" s="781"/>
      <c r="AD568" s="781"/>
      <c r="AE568" s="781"/>
      <c r="AF568" s="781"/>
      <c r="AG568" s="781"/>
      <c r="AH568" s="781"/>
      <c r="AI568" s="781"/>
      <c r="AJ568" s="781"/>
      <c r="AK568" s="781"/>
      <c r="AL568" s="781"/>
      <c r="AM568" s="781"/>
      <c r="AN568" s="781"/>
      <c r="AO568" s="781"/>
      <c r="AP568" s="781"/>
      <c r="AQ568" s="781"/>
    </row>
    <row r="569" spans="4:43" ht="11.25" customHeight="1" outlineLevel="1">
      <c r="D569" s="1">
        <v>18</v>
      </c>
    </row>
    <row r="570" spans="4:43" ht="30.75" customHeight="1" outlineLevel="1">
      <c r="D570" s="1">
        <v>50</v>
      </c>
      <c r="AC570" s="376" t="s">
        <v>530</v>
      </c>
      <c r="AD570" s="1112" t="s">
        <v>1590</v>
      </c>
      <c r="AE570" s="1113"/>
      <c r="AF570" s="1114"/>
      <c r="AG570" s="47" t="s">
        <v>619</v>
      </c>
      <c r="AH570" s="78">
        <v>0</v>
      </c>
    </row>
    <row r="571" spans="4:43" ht="30.75" customHeight="1" outlineLevel="1">
      <c r="D571" s="1">
        <v>50</v>
      </c>
      <c r="AC571" s="376" t="s">
        <v>632</v>
      </c>
      <c r="AD571" s="1112" t="s">
        <v>1867</v>
      </c>
      <c r="AE571" s="1113"/>
      <c r="AF571" s="1114"/>
      <c r="AG571" s="47" t="s">
        <v>619</v>
      </c>
      <c r="AH571" s="78">
        <v>0</v>
      </c>
    </row>
    <row r="572" spans="4:43" ht="51.75" customHeight="1" outlineLevel="1">
      <c r="D572" s="1">
        <v>84</v>
      </c>
      <c r="AC572" s="376" t="s">
        <v>955</v>
      </c>
      <c r="AD572" s="1112" t="s">
        <v>1868</v>
      </c>
      <c r="AE572" s="1113"/>
      <c r="AF572" s="1114"/>
      <c r="AG572" s="47" t="s">
        <v>619</v>
      </c>
      <c r="AH572" s="78">
        <v>0</v>
      </c>
    </row>
    <row r="573" spans="4:43" ht="38.25" customHeight="1" outlineLevel="1">
      <c r="D573" s="1">
        <v>61</v>
      </c>
      <c r="AC573" s="376" t="s">
        <v>956</v>
      </c>
      <c r="AD573" s="1112" t="s">
        <v>1869</v>
      </c>
      <c r="AE573" s="1113"/>
      <c r="AF573" s="1114"/>
      <c r="AG573" s="47" t="s">
        <v>619</v>
      </c>
      <c r="AH573" s="78">
        <v>0</v>
      </c>
    </row>
    <row r="574" spans="4:43" ht="30.75" customHeight="1" outlineLevel="1">
      <c r="D574" s="1">
        <v>50</v>
      </c>
      <c r="AC574" s="376" t="s">
        <v>1870</v>
      </c>
      <c r="AD574" s="1112" t="s">
        <v>1871</v>
      </c>
      <c r="AE574" s="1113"/>
      <c r="AF574" s="1114"/>
      <c r="AG574" s="47" t="s">
        <v>619</v>
      </c>
      <c r="AH574" s="78">
        <v>0</v>
      </c>
    </row>
    <row r="575" spans="4:43" ht="11.25" customHeight="1" outlineLevel="1">
      <c r="D575" s="1">
        <v>18</v>
      </c>
    </row>
    <row r="576" spans="4:43" ht="18.75" customHeight="1" outlineLevel="1">
      <c r="D576" s="1">
        <v>31</v>
      </c>
      <c r="AB576" s="832" t="s">
        <v>1872</v>
      </c>
      <c r="AC576" s="781"/>
      <c r="AD576" s="781"/>
      <c r="AE576" s="781"/>
      <c r="AF576" s="781"/>
      <c r="AG576" s="781"/>
      <c r="AH576" s="781"/>
      <c r="AI576" s="781"/>
      <c r="AJ576" s="781"/>
      <c r="AK576" s="781"/>
      <c r="AL576" s="781"/>
      <c r="AM576" s="781"/>
      <c r="AN576" s="781"/>
      <c r="AO576" s="781"/>
      <c r="AP576" s="781"/>
      <c r="AQ576" s="781"/>
    </row>
    <row r="577" spans="4:43" ht="18.75" customHeight="1" outlineLevel="1">
      <c r="D577" s="1">
        <v>31</v>
      </c>
      <c r="AB577" s="832" t="s">
        <v>1591</v>
      </c>
      <c r="AC577" s="781"/>
      <c r="AD577" s="781"/>
      <c r="AE577" s="781"/>
      <c r="AF577" s="781"/>
      <c r="AG577" s="781"/>
      <c r="AH577" s="781"/>
      <c r="AI577" s="781"/>
      <c r="AJ577" s="781"/>
      <c r="AK577" s="781"/>
      <c r="AL577" s="781"/>
      <c r="AM577" s="781"/>
      <c r="AN577" s="781"/>
      <c r="AO577" s="781"/>
      <c r="AP577" s="781"/>
      <c r="AQ577" s="781"/>
    </row>
    <row r="578" spans="4:43" ht="64.5" customHeight="1" outlineLevel="1">
      <c r="D578" s="1">
        <v>103</v>
      </c>
      <c r="AB578" s="832" t="s">
        <v>1873</v>
      </c>
      <c r="AC578" s="781"/>
      <c r="AD578" s="781"/>
      <c r="AE578" s="781"/>
      <c r="AF578" s="781"/>
      <c r="AG578" s="781"/>
      <c r="AH578" s="781"/>
      <c r="AI578" s="781"/>
      <c r="AJ578" s="781"/>
      <c r="AK578" s="781"/>
      <c r="AL578" s="781"/>
      <c r="AM578" s="781"/>
      <c r="AN578" s="781"/>
      <c r="AO578" s="781"/>
      <c r="AP578" s="781"/>
      <c r="AQ578" s="781"/>
    </row>
    <row r="579" spans="4:43" ht="38.25" customHeight="1" outlineLevel="1">
      <c r="D579" s="1">
        <v>61</v>
      </c>
      <c r="AB579" s="832" t="s">
        <v>1874</v>
      </c>
      <c r="AC579" s="781"/>
      <c r="AD579" s="781"/>
      <c r="AE579" s="781"/>
      <c r="AF579" s="781"/>
      <c r="AG579" s="781"/>
      <c r="AH579" s="781"/>
      <c r="AI579" s="781"/>
      <c r="AJ579" s="781"/>
      <c r="AK579" s="781"/>
      <c r="AL579" s="781"/>
      <c r="AM579" s="781"/>
      <c r="AN579" s="781"/>
      <c r="AO579" s="781"/>
      <c r="AP579" s="781"/>
      <c r="AQ579" s="781"/>
    </row>
    <row r="580" spans="4:43" ht="44.25" customHeight="1" outlineLevel="1">
      <c r="D580" s="1">
        <v>71</v>
      </c>
      <c r="AB580" s="832" t="s">
        <v>1875</v>
      </c>
      <c r="AC580" s="781"/>
      <c r="AD580" s="781"/>
      <c r="AE580" s="781"/>
      <c r="AF580" s="781"/>
      <c r="AG580" s="781"/>
      <c r="AH580" s="781"/>
      <c r="AI580" s="781"/>
      <c r="AJ580" s="781"/>
      <c r="AK580" s="781"/>
      <c r="AL580" s="781"/>
      <c r="AM580" s="781"/>
      <c r="AN580" s="781"/>
      <c r="AO580" s="781"/>
      <c r="AP580" s="781"/>
      <c r="AQ580" s="781"/>
    </row>
    <row r="581" spans="4:43" ht="18.75" customHeight="1" outlineLevel="1">
      <c r="D581" s="1">
        <v>31</v>
      </c>
      <c r="AB581" s="832" t="s">
        <v>1876</v>
      </c>
      <c r="AC581" s="781"/>
      <c r="AD581" s="781"/>
      <c r="AE581" s="781"/>
      <c r="AF581" s="781"/>
      <c r="AG581" s="781"/>
      <c r="AH581" s="781"/>
      <c r="AI581" s="781"/>
      <c r="AJ581" s="781"/>
      <c r="AK581" s="781"/>
      <c r="AL581" s="781"/>
      <c r="AM581" s="781"/>
      <c r="AN581" s="781"/>
      <c r="AO581" s="781"/>
      <c r="AP581" s="781"/>
      <c r="AQ581" s="781"/>
    </row>
    <row r="582" spans="4:43" ht="36" customHeight="1" outlineLevel="1">
      <c r="D582" s="1">
        <v>58</v>
      </c>
      <c r="AB582" s="832" t="s">
        <v>1595</v>
      </c>
      <c r="AC582" s="781"/>
      <c r="AD582" s="781"/>
      <c r="AE582" s="781"/>
      <c r="AF582" s="781"/>
      <c r="AG582" s="781"/>
      <c r="AH582" s="781"/>
      <c r="AI582" s="781"/>
      <c r="AJ582" s="781"/>
      <c r="AK582" s="781"/>
      <c r="AL582" s="781"/>
      <c r="AM582" s="781"/>
      <c r="AN582" s="781"/>
      <c r="AO582" s="781"/>
      <c r="AP582" s="781"/>
      <c r="AQ582" s="781"/>
    </row>
    <row r="583" spans="4:43" ht="18.75" customHeight="1" outlineLevel="1">
      <c r="D583" s="1">
        <v>31</v>
      </c>
      <c r="AB583" s="832" t="s">
        <v>1596</v>
      </c>
      <c r="AC583" s="781"/>
      <c r="AD583" s="781"/>
      <c r="AE583" s="781"/>
      <c r="AF583" s="781"/>
      <c r="AG583" s="781"/>
      <c r="AH583" s="781"/>
      <c r="AI583" s="781"/>
      <c r="AJ583" s="781"/>
      <c r="AK583" s="781"/>
      <c r="AL583" s="781"/>
      <c r="AM583" s="781"/>
      <c r="AN583" s="781"/>
      <c r="AO583" s="781"/>
      <c r="AP583" s="781"/>
      <c r="AQ583" s="781"/>
    </row>
    <row r="584" spans="4:43" ht="18.75" customHeight="1" outlineLevel="1">
      <c r="D584" s="1">
        <v>31</v>
      </c>
      <c r="AB584" s="832" t="s">
        <v>1597</v>
      </c>
      <c r="AC584" s="781"/>
      <c r="AD584" s="781"/>
      <c r="AE584" s="781"/>
      <c r="AF584" s="781"/>
      <c r="AG584" s="781"/>
      <c r="AH584" s="781"/>
      <c r="AI584" s="781"/>
      <c r="AJ584" s="781"/>
      <c r="AK584" s="781"/>
      <c r="AL584" s="781"/>
      <c r="AM584" s="781"/>
      <c r="AN584" s="781"/>
      <c r="AO584" s="781"/>
      <c r="AP584" s="781"/>
      <c r="AQ584" s="781"/>
    </row>
    <row r="585" spans="4:43" ht="18.75" customHeight="1" outlineLevel="1">
      <c r="D585" s="1">
        <v>31</v>
      </c>
      <c r="AB585" s="832" t="s">
        <v>1598</v>
      </c>
      <c r="AC585" s="781"/>
      <c r="AD585" s="781"/>
      <c r="AE585" s="781"/>
      <c r="AF585" s="781"/>
      <c r="AG585" s="781"/>
      <c r="AH585" s="781"/>
      <c r="AI585" s="781"/>
      <c r="AJ585" s="781"/>
      <c r="AK585" s="781"/>
      <c r="AL585" s="781"/>
      <c r="AM585" s="781"/>
      <c r="AN585" s="781"/>
      <c r="AO585" s="781"/>
      <c r="AP585" s="781"/>
      <c r="AQ585" s="781"/>
    </row>
    <row r="586" spans="4:43" ht="18.75" customHeight="1" outlineLevel="1">
      <c r="D586" s="1">
        <v>31</v>
      </c>
      <c r="AB586" s="832" t="s">
        <v>1598</v>
      </c>
      <c r="AC586" s="781"/>
      <c r="AD586" s="781"/>
      <c r="AE586" s="781"/>
      <c r="AF586" s="781"/>
      <c r="AG586" s="781"/>
      <c r="AH586" s="781"/>
      <c r="AI586" s="781"/>
      <c r="AJ586" s="781"/>
      <c r="AK586" s="781"/>
      <c r="AL586" s="781"/>
      <c r="AM586" s="781"/>
      <c r="AN586" s="781"/>
      <c r="AO586" s="781"/>
      <c r="AP586" s="781"/>
      <c r="AQ586" s="781"/>
    </row>
    <row r="587" spans="4:43" ht="18.75" customHeight="1" outlineLevel="1">
      <c r="D587" s="1">
        <v>31</v>
      </c>
      <c r="AB587" s="832" t="s">
        <v>1598</v>
      </c>
      <c r="AC587" s="781"/>
      <c r="AD587" s="781"/>
      <c r="AE587" s="781"/>
      <c r="AF587" s="781"/>
      <c r="AG587" s="781"/>
      <c r="AH587" s="781"/>
      <c r="AI587" s="781"/>
      <c r="AJ587" s="781"/>
      <c r="AK587" s="781"/>
      <c r="AL587" s="781"/>
      <c r="AM587" s="781"/>
      <c r="AN587" s="781"/>
      <c r="AO587" s="781"/>
      <c r="AP587" s="781"/>
      <c r="AQ587" s="781"/>
    </row>
    <row r="588" spans="4:43" ht="18.75" customHeight="1" outlineLevel="1">
      <c r="D588" s="1">
        <v>31</v>
      </c>
    </row>
    <row r="589" spans="4:43" ht="11.25" customHeight="1" outlineLevel="1">
      <c r="D589" s="1">
        <v>18</v>
      </c>
      <c r="AB589" s="375"/>
      <c r="AC589" s="375"/>
      <c r="AD589" s="375"/>
      <c r="AE589" s="375"/>
      <c r="AF589" s="375"/>
      <c r="AG589" s="375"/>
      <c r="AH589" s="375"/>
      <c r="AI589" s="375"/>
      <c r="AJ589" s="375"/>
      <c r="AK589" s="375"/>
      <c r="AL589" s="375"/>
      <c r="AM589" s="375"/>
      <c r="AN589" s="375"/>
      <c r="AO589" s="375"/>
      <c r="AP589" s="375"/>
      <c r="AQ589" s="375"/>
    </row>
    <row r="590" spans="4:43" ht="11.25" customHeight="1" outlineLevel="1">
      <c r="D590" s="1">
        <v>18</v>
      </c>
      <c r="AB590" s="375"/>
      <c r="AC590" s="375"/>
      <c r="AD590" s="375"/>
      <c r="AE590" s="375"/>
      <c r="AF590" s="375"/>
      <c r="AG590" s="375"/>
      <c r="AH590" s="375"/>
      <c r="AI590" s="375"/>
      <c r="AJ590" s="375"/>
      <c r="AK590" s="375"/>
      <c r="AL590" s="375"/>
      <c r="AM590" s="375"/>
      <c r="AN590" s="375"/>
      <c r="AO590" s="375"/>
      <c r="AP590" s="375"/>
      <c r="AQ590" s="375"/>
    </row>
    <row r="591" spans="4:43" ht="11.25" customHeight="1" outlineLevel="1">
      <c r="D591" s="1">
        <v>18</v>
      </c>
      <c r="AB591" s="375"/>
      <c r="AC591" s="375"/>
      <c r="AD591" s="375"/>
      <c r="AE591" s="375"/>
      <c r="AF591" s="375"/>
      <c r="AG591" s="375"/>
      <c r="AH591" s="375"/>
      <c r="AI591" s="375"/>
      <c r="AJ591" s="375"/>
      <c r="AK591" s="375"/>
      <c r="AL591" s="375"/>
      <c r="AM591" s="375"/>
      <c r="AN591" s="375"/>
      <c r="AO591" s="375"/>
      <c r="AP591" s="375"/>
      <c r="AQ591" s="375"/>
    </row>
    <row r="592" spans="4:43" ht="11.25" customHeight="1" outlineLevel="1">
      <c r="D592" s="1">
        <v>18</v>
      </c>
      <c r="AB592" s="375"/>
      <c r="AC592" s="375"/>
      <c r="AD592" s="375"/>
      <c r="AE592" s="375"/>
      <c r="AF592" s="375"/>
      <c r="AG592" s="375"/>
      <c r="AH592" s="375"/>
      <c r="AI592" s="375"/>
      <c r="AJ592" s="375"/>
      <c r="AK592" s="375"/>
      <c r="AL592" s="375"/>
      <c r="AM592" s="375"/>
      <c r="AN592" s="375"/>
      <c r="AO592" s="375"/>
      <c r="AP592" s="375"/>
      <c r="AQ592" s="375"/>
    </row>
    <row r="593" spans="4:43" ht="11.25" customHeight="1" outlineLevel="1">
      <c r="D593" s="1">
        <v>18</v>
      </c>
      <c r="AB593" s="375"/>
      <c r="AC593" s="375"/>
      <c r="AD593" s="375"/>
      <c r="AE593" s="375"/>
      <c r="AF593" s="375"/>
      <c r="AG593" s="375"/>
      <c r="AH593" s="375"/>
      <c r="AI593" s="375"/>
      <c r="AJ593" s="375"/>
      <c r="AK593" s="375"/>
      <c r="AL593" s="375"/>
      <c r="AM593" s="375"/>
      <c r="AN593" s="375"/>
      <c r="AO593" s="375"/>
      <c r="AP593" s="375"/>
      <c r="AQ593" s="375"/>
    </row>
    <row r="594" spans="4:43" ht="11.25" customHeight="1" outlineLevel="1">
      <c r="D594" s="1">
        <v>18</v>
      </c>
      <c r="AB594" s="375"/>
      <c r="AC594" s="375"/>
      <c r="AD594" s="375"/>
      <c r="AE594" s="375"/>
      <c r="AF594" s="375"/>
      <c r="AG594" s="375"/>
      <c r="AH594" s="375"/>
      <c r="AI594" s="375"/>
      <c r="AJ594" s="375"/>
      <c r="AK594" s="375"/>
      <c r="AL594" s="375"/>
      <c r="AM594" s="375"/>
      <c r="AN594" s="375"/>
      <c r="AO594" s="375"/>
      <c r="AP594" s="375"/>
      <c r="AQ594" s="375"/>
    </row>
    <row r="595" spans="4:43" ht="11.25" customHeight="1" outlineLevel="1">
      <c r="D595" s="1">
        <v>18</v>
      </c>
      <c r="AB595" s="375"/>
      <c r="AC595" s="375"/>
      <c r="AD595" s="375"/>
      <c r="AE595" s="375"/>
      <c r="AF595" s="375"/>
      <c r="AG595" s="375"/>
      <c r="AH595" s="375"/>
      <c r="AI595" s="375"/>
      <c r="AJ595" s="375"/>
      <c r="AK595" s="375"/>
      <c r="AL595" s="375"/>
      <c r="AM595" s="375"/>
      <c r="AN595" s="375"/>
      <c r="AO595" s="375"/>
      <c r="AP595" s="375"/>
      <c r="AQ595" s="375"/>
    </row>
    <row r="596" spans="4:43" ht="11.25" customHeight="1" outlineLevel="1">
      <c r="D596" s="1">
        <v>18</v>
      </c>
      <c r="AB596" s="375"/>
      <c r="AC596" s="375"/>
      <c r="AD596" s="375"/>
      <c r="AE596" s="375"/>
      <c r="AF596" s="375"/>
      <c r="AG596" s="375"/>
      <c r="AH596" s="375"/>
      <c r="AI596" s="375"/>
      <c r="AJ596" s="375"/>
      <c r="AK596" s="375"/>
      <c r="AL596" s="375"/>
      <c r="AM596" s="375"/>
      <c r="AN596" s="375"/>
      <c r="AO596" s="375"/>
      <c r="AP596" s="375"/>
      <c r="AQ596" s="375"/>
    </row>
    <row r="597" spans="4:43" ht="11.25" customHeight="1" outlineLevel="1">
      <c r="D597" s="1">
        <v>18</v>
      </c>
      <c r="AB597" s="375"/>
      <c r="AC597" s="375"/>
      <c r="AD597" s="375"/>
      <c r="AE597" s="375"/>
      <c r="AF597" s="375"/>
      <c r="AG597" s="375"/>
      <c r="AH597" s="375"/>
      <c r="AI597" s="375"/>
      <c r="AJ597" s="375"/>
      <c r="AK597" s="375"/>
      <c r="AL597" s="375"/>
      <c r="AM597" s="375"/>
      <c r="AN597" s="375"/>
      <c r="AO597" s="375"/>
      <c r="AP597" s="375"/>
      <c r="AQ597" s="375"/>
    </row>
    <row r="598" spans="4:43" ht="11.25" customHeight="1" outlineLevel="1">
      <c r="D598" s="1">
        <v>18</v>
      </c>
      <c r="AB598" s="375"/>
      <c r="AC598" s="375"/>
      <c r="AD598" s="375"/>
      <c r="AE598" s="375"/>
      <c r="AF598" s="375"/>
      <c r="AG598" s="375"/>
      <c r="AH598" s="375"/>
      <c r="AI598" s="375"/>
      <c r="AJ598" s="375"/>
      <c r="AK598" s="375"/>
      <c r="AL598" s="375"/>
      <c r="AM598" s="375"/>
      <c r="AN598" s="375"/>
      <c r="AO598" s="375"/>
      <c r="AP598" s="375"/>
      <c r="AQ598" s="375"/>
    </row>
    <row r="599" spans="4:43" ht="11.25" customHeight="1" outlineLevel="1">
      <c r="D599" s="1">
        <v>18</v>
      </c>
      <c r="AB599" s="375"/>
      <c r="AC599" s="375"/>
      <c r="AD599" s="375"/>
      <c r="AE599" s="375"/>
      <c r="AF599" s="375"/>
      <c r="AG599" s="375"/>
      <c r="AH599" s="375"/>
      <c r="AI599" s="375"/>
      <c r="AJ599" s="375"/>
      <c r="AK599" s="375"/>
      <c r="AL599" s="375"/>
      <c r="AM599" s="375"/>
      <c r="AN599" s="375"/>
      <c r="AO599" s="375"/>
      <c r="AP599" s="375"/>
      <c r="AQ599" s="375"/>
    </row>
    <row r="600" spans="4:43" ht="11.25" customHeight="1" outlineLevel="1">
      <c r="D600" s="1">
        <v>18</v>
      </c>
      <c r="AB600" s="375"/>
      <c r="AC600" s="375"/>
      <c r="AD600" s="375"/>
      <c r="AE600" s="375"/>
      <c r="AF600" s="375"/>
      <c r="AG600" s="375"/>
      <c r="AH600" s="375"/>
      <c r="AI600" s="375"/>
      <c r="AJ600" s="375"/>
      <c r="AK600" s="375"/>
      <c r="AL600" s="375"/>
      <c r="AM600" s="375"/>
      <c r="AN600" s="375"/>
      <c r="AO600" s="375"/>
      <c r="AP600" s="375"/>
      <c r="AQ600" s="375"/>
    </row>
    <row r="601" spans="4:43" ht="11.25" customHeight="1" outlineLevel="1">
      <c r="D601" s="1">
        <v>18</v>
      </c>
      <c r="AB601" s="375"/>
      <c r="AC601" s="375"/>
      <c r="AD601" s="375"/>
      <c r="AE601" s="375"/>
      <c r="AF601" s="375"/>
      <c r="AG601" s="375"/>
      <c r="AH601" s="375"/>
      <c r="AI601" s="375"/>
      <c r="AJ601" s="375"/>
      <c r="AK601" s="375"/>
      <c r="AL601" s="375"/>
      <c r="AM601" s="375"/>
      <c r="AN601" s="375"/>
      <c r="AO601" s="375"/>
      <c r="AP601" s="375"/>
      <c r="AQ601" s="375"/>
    </row>
    <row r="602" spans="4:43" ht="11.25" customHeight="1" outlineLevel="1">
      <c r="D602" s="1">
        <v>18</v>
      </c>
      <c r="AB602" s="375"/>
      <c r="AC602" s="375"/>
      <c r="AD602" s="375"/>
      <c r="AE602" s="375"/>
      <c r="AF602" s="375"/>
      <c r="AG602" s="375"/>
      <c r="AH602" s="375"/>
      <c r="AI602" s="375"/>
      <c r="AJ602" s="375"/>
      <c r="AK602" s="375"/>
      <c r="AL602" s="375"/>
      <c r="AM602" s="375"/>
      <c r="AN602" s="375"/>
      <c r="AO602" s="375"/>
      <c r="AP602" s="375"/>
      <c r="AQ602" s="375"/>
    </row>
    <row r="603" spans="4:43" ht="11.25" customHeight="1" outlineLevel="1">
      <c r="D603" s="1">
        <v>18</v>
      </c>
      <c r="AB603" s="375"/>
      <c r="AC603" s="375"/>
      <c r="AD603" s="375"/>
      <c r="AE603" s="375"/>
      <c r="AF603" s="375"/>
      <c r="AG603" s="375"/>
      <c r="AH603" s="375"/>
      <c r="AI603" s="375"/>
      <c r="AJ603" s="375"/>
      <c r="AK603" s="375"/>
      <c r="AL603" s="375"/>
      <c r="AM603" s="375"/>
      <c r="AN603" s="375"/>
      <c r="AO603" s="375"/>
      <c r="AP603" s="375"/>
      <c r="AQ603" s="375"/>
    </row>
    <row r="604" spans="4:43" ht="11.25" customHeight="1" outlineLevel="1">
      <c r="D604" s="1">
        <v>18</v>
      </c>
      <c r="AB604" s="375"/>
      <c r="AC604" s="375"/>
      <c r="AD604" s="375"/>
      <c r="AE604" s="375"/>
      <c r="AF604" s="375"/>
      <c r="AG604" s="375"/>
      <c r="AH604" s="375"/>
      <c r="AI604" s="375"/>
      <c r="AJ604" s="375"/>
      <c r="AK604" s="375"/>
      <c r="AL604" s="375"/>
      <c r="AM604" s="375"/>
      <c r="AN604" s="375"/>
      <c r="AO604" s="375"/>
      <c r="AP604" s="375"/>
      <c r="AQ604" s="375"/>
    </row>
    <row r="605" spans="4:43" ht="11.25" customHeight="1" outlineLevel="1">
      <c r="D605" s="1">
        <v>18</v>
      </c>
      <c r="AB605" s="375"/>
      <c r="AC605" s="375"/>
      <c r="AD605" s="375"/>
      <c r="AE605" s="375"/>
      <c r="AF605" s="375"/>
      <c r="AG605" s="375"/>
      <c r="AH605" s="375"/>
      <c r="AI605" s="375"/>
      <c r="AJ605" s="375"/>
      <c r="AK605" s="375"/>
      <c r="AL605" s="375"/>
      <c r="AM605" s="375"/>
      <c r="AN605" s="375"/>
      <c r="AO605" s="375"/>
      <c r="AP605" s="375"/>
      <c r="AQ605" s="375"/>
    </row>
    <row r="606" spans="4:43" ht="11.25" customHeight="1" outlineLevel="1">
      <c r="D606" s="1">
        <v>18</v>
      </c>
      <c r="AB606" s="375"/>
      <c r="AC606" s="375"/>
      <c r="AD606" s="375"/>
      <c r="AE606" s="375"/>
      <c r="AF606" s="375"/>
      <c r="AG606" s="375"/>
      <c r="AH606" s="375"/>
      <c r="AI606" s="375"/>
      <c r="AJ606" s="375"/>
      <c r="AK606" s="375"/>
      <c r="AL606" s="375"/>
      <c r="AM606" s="375"/>
      <c r="AN606" s="375"/>
      <c r="AO606" s="375"/>
      <c r="AP606" s="375"/>
      <c r="AQ606" s="375"/>
    </row>
    <row r="607" spans="4:43" ht="11.25" hidden="1" customHeight="1" outlineLevel="1">
      <c r="D607" s="1">
        <v>0</v>
      </c>
    </row>
    <row r="608" spans="4:43" ht="11.25" hidden="1" customHeight="1" outlineLevel="1">
      <c r="D608" s="1">
        <v>0</v>
      </c>
    </row>
    <row r="609" spans="4:43" ht="18.75" customHeight="1" outlineLevel="1">
      <c r="D609" s="1">
        <v>31</v>
      </c>
      <c r="AB609" s="832" t="s">
        <v>1599</v>
      </c>
      <c r="AC609" s="781"/>
      <c r="AD609" s="781"/>
      <c r="AE609" s="781"/>
      <c r="AF609" s="781"/>
      <c r="AG609" s="781"/>
      <c r="AH609" s="781"/>
      <c r="AI609" s="781"/>
      <c r="AJ609" s="781"/>
      <c r="AK609" s="781"/>
      <c r="AL609" s="781"/>
      <c r="AM609" s="781"/>
      <c r="AN609" s="781"/>
      <c r="AO609" s="781"/>
      <c r="AP609" s="781"/>
      <c r="AQ609" s="781"/>
    </row>
    <row r="610" spans="4:43" ht="14.25" customHeight="1" outlineLevel="1">
      <c r="D610" s="1">
        <v>23</v>
      </c>
      <c r="AC610" s="168" t="s">
        <v>536</v>
      </c>
      <c r="AD610" s="1115" t="s">
        <v>1012</v>
      </c>
      <c r="AE610" s="1116"/>
      <c r="AF610" s="1117"/>
      <c r="AG610" s="1118"/>
      <c r="AH610" s="1119"/>
      <c r="AI610" s="1119"/>
      <c r="AJ610" s="1119"/>
    </row>
    <row r="611" spans="4:43" ht="14.25" customHeight="1" outlineLevel="1">
      <c r="D611" s="1">
        <v>23</v>
      </c>
      <c r="AC611" s="47" t="s">
        <v>705</v>
      </c>
      <c r="AD611" s="797" t="s">
        <v>1013</v>
      </c>
      <c r="AE611" s="797"/>
      <c r="AF611" s="797"/>
      <c r="AG611" s="797"/>
      <c r="AH611" s="797"/>
      <c r="AI611" s="47" t="s">
        <v>619</v>
      </c>
      <c r="AJ611" s="78">
        <v>0</v>
      </c>
    </row>
    <row r="612" spans="4:43" ht="14.25" customHeight="1" outlineLevel="1">
      <c r="D612" s="1">
        <v>23</v>
      </c>
      <c r="AC612" s="47" t="s">
        <v>1600</v>
      </c>
      <c r="AD612" s="797" t="s">
        <v>1014</v>
      </c>
      <c r="AE612" s="797"/>
      <c r="AF612" s="797"/>
      <c r="AG612" s="797"/>
      <c r="AH612" s="797"/>
      <c r="AI612" s="47" t="s">
        <v>619</v>
      </c>
      <c r="AJ612" s="78">
        <v>0</v>
      </c>
    </row>
    <row r="613" spans="4:43" ht="14.25" customHeight="1" outlineLevel="1">
      <c r="D613" s="1">
        <v>23</v>
      </c>
      <c r="AC613" s="47" t="s">
        <v>1601</v>
      </c>
      <c r="AD613" s="797" t="s">
        <v>1015</v>
      </c>
      <c r="AE613" s="797"/>
      <c r="AF613" s="797"/>
      <c r="AG613" s="797"/>
      <c r="AH613" s="797"/>
      <c r="AI613" s="47" t="s">
        <v>619</v>
      </c>
      <c r="AJ613" s="78">
        <v>0</v>
      </c>
    </row>
    <row r="614" spans="4:43" ht="14.25" customHeight="1" outlineLevel="1">
      <c r="D614" s="1">
        <v>23</v>
      </c>
      <c r="AC614" s="47" t="s">
        <v>1602</v>
      </c>
      <c r="AD614" s="797" t="s">
        <v>1016</v>
      </c>
      <c r="AE614" s="797"/>
      <c r="AF614" s="797"/>
      <c r="AG614" s="797"/>
      <c r="AH614" s="797"/>
      <c r="AI614" s="47" t="s">
        <v>619</v>
      </c>
      <c r="AJ614" s="78">
        <v>0</v>
      </c>
    </row>
    <row r="615" spans="4:43" ht="26.25" customHeight="1" outlineLevel="1">
      <c r="D615" s="1">
        <v>42</v>
      </c>
      <c r="AC615" s="47" t="s">
        <v>1603</v>
      </c>
      <c r="AD615" s="797" t="s">
        <v>1017</v>
      </c>
      <c r="AE615" s="797"/>
      <c r="AF615" s="797"/>
      <c r="AG615" s="797"/>
      <c r="AH615" s="797"/>
      <c r="AI615" s="47" t="s">
        <v>619</v>
      </c>
      <c r="AJ615" s="78">
        <v>0</v>
      </c>
    </row>
    <row r="616" spans="4:43" ht="15.75" customHeight="1" outlineLevel="1">
      <c r="D616" s="1">
        <v>26</v>
      </c>
      <c r="AC616" s="47" t="s">
        <v>1604</v>
      </c>
      <c r="AD616" s="797" t="s">
        <v>1018</v>
      </c>
      <c r="AE616" s="797"/>
      <c r="AF616" s="797"/>
      <c r="AG616" s="797"/>
      <c r="AH616" s="797"/>
      <c r="AI616" s="47" t="s">
        <v>619</v>
      </c>
      <c r="AJ616" s="78">
        <v>0</v>
      </c>
    </row>
    <row r="617" spans="4:43" ht="26.25" customHeight="1" outlineLevel="1">
      <c r="D617" s="1">
        <v>42</v>
      </c>
      <c r="AC617" s="47" t="s">
        <v>1605</v>
      </c>
      <c r="AD617" s="797" t="s">
        <v>1019</v>
      </c>
      <c r="AE617" s="797"/>
      <c r="AF617" s="797"/>
      <c r="AG617" s="797"/>
      <c r="AH617" s="797"/>
      <c r="AI617" s="47" t="s">
        <v>619</v>
      </c>
      <c r="AJ617" s="78">
        <v>0</v>
      </c>
    </row>
    <row r="618" spans="4:43" ht="12.75" customHeight="1" outlineLevel="1">
      <c r="D618" s="1">
        <v>21</v>
      </c>
      <c r="AC618" s="47" t="s">
        <v>1606</v>
      </c>
      <c r="AD618" s="797" t="s">
        <v>1020</v>
      </c>
      <c r="AE618" s="797"/>
      <c r="AF618" s="797"/>
      <c r="AG618" s="797"/>
      <c r="AH618" s="797"/>
      <c r="AI618" s="47" t="s">
        <v>619</v>
      </c>
      <c r="AJ618" s="78">
        <v>0</v>
      </c>
    </row>
    <row r="619" spans="4:43" ht="11.25" customHeight="1">
      <c r="D619" s="1">
        <v>20</v>
      </c>
    </row>
    <row r="620" spans="4:43" ht="14.25" customHeight="1" outlineLevel="1">
      <c r="D620" s="1">
        <v>23</v>
      </c>
      <c r="AA620" s="781"/>
      <c r="AB620" s="1078" t="s">
        <v>1877</v>
      </c>
      <c r="AC620" s="781"/>
      <c r="AD620" s="781"/>
      <c r="AE620" s="781"/>
      <c r="AF620" s="781"/>
      <c r="AG620" s="781"/>
      <c r="AH620" s="781"/>
      <c r="AI620" s="781"/>
      <c r="AJ620" s="781"/>
      <c r="AK620" s="781"/>
      <c r="AL620" s="781"/>
      <c r="AM620" s="781"/>
      <c r="AN620" s="781"/>
      <c r="AO620" s="781"/>
      <c r="AP620" s="781"/>
      <c r="AQ620" s="781"/>
    </row>
    <row r="621" spans="4:43" ht="18.75" customHeight="1" outlineLevel="1">
      <c r="D621" s="1">
        <v>31</v>
      </c>
      <c r="AA621" s="781"/>
      <c r="AB621" s="781"/>
      <c r="AC621" s="781"/>
      <c r="AD621" s="781"/>
      <c r="AE621" s="781"/>
      <c r="AF621" s="781"/>
      <c r="AG621" s="781"/>
      <c r="AH621" s="781"/>
      <c r="AI621" s="781"/>
      <c r="AJ621" s="781"/>
      <c r="AK621" s="781"/>
      <c r="AL621" s="781"/>
      <c r="AM621" s="781"/>
      <c r="AN621" s="781"/>
      <c r="AO621" s="781"/>
      <c r="AP621" s="781"/>
      <c r="AQ621" s="781"/>
    </row>
    <row r="622" spans="4:43" ht="26.25" customHeight="1" outlineLevel="1">
      <c r="D622" s="1">
        <v>42</v>
      </c>
      <c r="AB622" s="832" t="s">
        <v>1878</v>
      </c>
      <c r="AC622" s="781"/>
      <c r="AD622" s="781"/>
      <c r="AE622" s="781"/>
      <c r="AF622" s="781"/>
      <c r="AG622" s="781"/>
      <c r="AH622" s="781"/>
      <c r="AI622" s="781"/>
      <c r="AJ622" s="781"/>
      <c r="AK622" s="781"/>
      <c r="AL622" s="781"/>
      <c r="AM622" s="781"/>
      <c r="AN622" s="781"/>
      <c r="AO622" s="781"/>
      <c r="AP622" s="781"/>
      <c r="AQ622" s="781"/>
    </row>
    <row r="623" spans="4:43" ht="14.25" customHeight="1" outlineLevel="1">
      <c r="D623" s="1">
        <v>23</v>
      </c>
      <c r="AB623" s="832" t="s">
        <v>1879</v>
      </c>
      <c r="AC623" s="781"/>
      <c r="AD623" s="781"/>
      <c r="AE623" s="781"/>
      <c r="AF623" s="781"/>
      <c r="AG623" s="781"/>
      <c r="AH623" s="781"/>
      <c r="AI623" s="781"/>
      <c r="AJ623" s="781"/>
      <c r="AK623" s="781"/>
      <c r="AL623" s="781"/>
      <c r="AM623" s="1046"/>
      <c r="AN623" s="1046"/>
      <c r="AO623" s="109" t="s">
        <v>1327</v>
      </c>
      <c r="AP623" s="1046"/>
      <c r="AQ623" s="1046"/>
    </row>
    <row r="624" spans="4:43" ht="60.75" customHeight="1" outlineLevel="1">
      <c r="D624" s="1">
        <v>98</v>
      </c>
      <c r="AB624" s="832" t="s">
        <v>1880</v>
      </c>
      <c r="AC624" s="781"/>
      <c r="AD624" s="781"/>
      <c r="AE624" s="781"/>
      <c r="AF624" s="781"/>
      <c r="AG624" s="781"/>
      <c r="AH624" s="781"/>
      <c r="AI624" s="781"/>
      <c r="AJ624" s="781"/>
      <c r="AK624" s="781"/>
      <c r="AL624" s="781"/>
      <c r="AM624" s="781"/>
      <c r="AN624" s="781"/>
      <c r="AO624" s="781"/>
      <c r="AP624" s="781"/>
      <c r="AQ624" s="781"/>
    </row>
    <row r="625" spans="4:43" ht="33.75" customHeight="1" outlineLevel="1">
      <c r="D625" s="1">
        <v>55</v>
      </c>
      <c r="AB625" s="832" t="s">
        <v>1610</v>
      </c>
      <c r="AC625" s="781"/>
      <c r="AD625" s="781"/>
      <c r="AE625" s="781"/>
      <c r="AF625" s="781"/>
      <c r="AG625" s="781"/>
      <c r="AH625" s="781"/>
      <c r="AI625" s="781"/>
      <c r="AJ625" s="781"/>
      <c r="AK625" s="781"/>
      <c r="AL625" s="781"/>
      <c r="AM625" s="781"/>
      <c r="AN625" s="781"/>
      <c r="AO625" s="781"/>
      <c r="AP625" s="781"/>
      <c r="AQ625" s="781"/>
    </row>
    <row r="626" spans="4:43" ht="29.25" customHeight="1" outlineLevel="1">
      <c r="D626" s="1">
        <v>47</v>
      </c>
      <c r="AC626" s="798"/>
      <c r="AD626" s="798"/>
      <c r="AE626" s="798"/>
      <c r="AF626" s="798"/>
      <c r="AG626" s="798"/>
      <c r="AH626" s="139" t="s">
        <v>1881</v>
      </c>
      <c r="AI626" s="139" t="s">
        <v>1882</v>
      </c>
      <c r="AJ626" s="139" t="s">
        <v>942</v>
      </c>
      <c r="AK626" s="139" t="s">
        <v>1883</v>
      </c>
      <c r="AL626" s="139" t="s">
        <v>1884</v>
      </c>
      <c r="AM626" s="139" t="s">
        <v>942</v>
      </c>
    </row>
    <row r="627" spans="4:43" ht="18.75" customHeight="1" outlineLevel="1">
      <c r="D627" s="1">
        <v>31</v>
      </c>
      <c r="AC627" s="47" t="s">
        <v>530</v>
      </c>
      <c r="AD627" s="796" t="s">
        <v>933</v>
      </c>
      <c r="AE627" s="796"/>
      <c r="AF627" s="796"/>
      <c r="AG627" s="66" t="s">
        <v>916</v>
      </c>
      <c r="AH627" s="78">
        <v>0</v>
      </c>
      <c r="AI627" s="78">
        <v>0</v>
      </c>
      <c r="AJ627" s="128">
        <v>0</v>
      </c>
      <c r="AK627" s="78">
        <v>0</v>
      </c>
      <c r="AL627" s="78">
        <v>0</v>
      </c>
      <c r="AM627" s="128">
        <v>0</v>
      </c>
    </row>
    <row r="628" spans="4:43" ht="18.75" customHeight="1" outlineLevel="1">
      <c r="D628" s="1">
        <v>31</v>
      </c>
      <c r="AC628" s="47" t="s">
        <v>927</v>
      </c>
      <c r="AD628" s="796" t="s">
        <v>1032</v>
      </c>
      <c r="AE628" s="796"/>
      <c r="AF628" s="796"/>
      <c r="AG628" s="66" t="s">
        <v>1033</v>
      </c>
      <c r="AH628" s="78">
        <v>0</v>
      </c>
      <c r="AI628" s="78">
        <v>0</v>
      </c>
      <c r="AJ628" s="128">
        <v>0</v>
      </c>
      <c r="AK628" s="78">
        <v>0</v>
      </c>
      <c r="AL628" s="78">
        <v>0</v>
      </c>
      <c r="AM628" s="128">
        <v>0</v>
      </c>
    </row>
    <row r="629" spans="4:43" ht="27" customHeight="1" outlineLevel="1">
      <c r="D629" s="1">
        <v>44</v>
      </c>
      <c r="AC629" s="47" t="s">
        <v>1021</v>
      </c>
      <c r="AD629" s="796" t="s">
        <v>1034</v>
      </c>
      <c r="AE629" s="796"/>
      <c r="AF629" s="796"/>
      <c r="AG629" s="66" t="s">
        <v>1035</v>
      </c>
      <c r="AH629" s="78">
        <v>0</v>
      </c>
      <c r="AI629" s="78">
        <v>0</v>
      </c>
      <c r="AJ629" s="128">
        <v>0</v>
      </c>
      <c r="AK629" s="78">
        <v>0</v>
      </c>
      <c r="AL629" s="78">
        <v>0</v>
      </c>
      <c r="AM629" s="128">
        <v>0</v>
      </c>
    </row>
    <row r="630" spans="4:43" ht="18.75" customHeight="1" outlineLevel="1">
      <c r="D630" s="1">
        <v>31</v>
      </c>
    </row>
    <row r="631" spans="4:43" ht="33.75" customHeight="1" outlineLevel="1">
      <c r="D631" s="1">
        <v>55</v>
      </c>
      <c r="AB631" s="832" t="s">
        <v>1885</v>
      </c>
      <c r="AC631" s="781"/>
      <c r="AD631" s="781"/>
      <c r="AE631" s="781"/>
      <c r="AF631" s="781"/>
      <c r="AG631" s="781"/>
      <c r="AH631" s="781"/>
      <c r="AI631" s="781"/>
      <c r="AJ631" s="781"/>
      <c r="AK631" s="781"/>
      <c r="AL631" s="781"/>
      <c r="AM631" s="781"/>
      <c r="AN631" s="781"/>
      <c r="AO631" s="781"/>
      <c r="AP631" s="781"/>
      <c r="AQ631" s="781"/>
    </row>
    <row r="632" spans="4:43" ht="18.75" customHeight="1">
      <c r="D632" s="1">
        <v>31</v>
      </c>
    </row>
    <row r="633" spans="4:43" ht="14.25" customHeight="1">
      <c r="D633" s="1">
        <v>23</v>
      </c>
      <c r="AB633" s="1078" t="s">
        <v>1886</v>
      </c>
      <c r="AC633" s="781"/>
      <c r="AD633" s="781"/>
      <c r="AE633" s="781"/>
      <c r="AF633" s="781"/>
      <c r="AG633" s="781"/>
      <c r="AH633" s="781"/>
      <c r="AI633" s="781"/>
      <c r="AJ633" s="781"/>
      <c r="AK633" s="781"/>
      <c r="AL633" s="781"/>
      <c r="AM633" s="781"/>
      <c r="AN633" s="781"/>
      <c r="AO633" s="781"/>
      <c r="AP633" s="781"/>
      <c r="AQ633" s="781"/>
    </row>
    <row r="634" spans="4:43" ht="11.25" customHeight="1">
      <c r="D634" s="1">
        <v>20</v>
      </c>
    </row>
    <row r="635" spans="4:43" ht="18" customHeight="1" outlineLevel="1">
      <c r="D635" s="1">
        <v>29</v>
      </c>
      <c r="AB635" s="832" t="s">
        <v>1887</v>
      </c>
      <c r="AC635" s="781"/>
      <c r="AD635" s="781"/>
      <c r="AE635" s="781"/>
      <c r="AG635" s="354"/>
      <c r="AH635" s="109" t="s">
        <v>1888</v>
      </c>
      <c r="AI635" s="354"/>
      <c r="AJ635" s="29" t="s">
        <v>1889</v>
      </c>
    </row>
    <row r="636" spans="4:43" ht="17.25" customHeight="1" outlineLevel="1">
      <c r="D636" s="1">
        <v>28</v>
      </c>
      <c r="AB636" s="832" t="s">
        <v>1890</v>
      </c>
      <c r="AC636" s="781"/>
      <c r="AD636" s="781"/>
      <c r="AE636" s="781"/>
      <c r="AF636" s="781"/>
      <c r="AG636" s="781"/>
      <c r="AH636" s="781"/>
      <c r="AI636" s="1046"/>
      <c r="AJ636" s="1046"/>
      <c r="AK636" s="1046"/>
      <c r="AL636" s="1046"/>
      <c r="AM636" s="1046"/>
      <c r="AN636" s="1046"/>
      <c r="AO636" s="1046"/>
      <c r="AP636" s="1046"/>
      <c r="AQ636" s="1046"/>
    </row>
    <row r="637" spans="4:43" ht="28.5" customHeight="1" outlineLevel="1">
      <c r="D637" s="1">
        <v>45</v>
      </c>
      <c r="AB637" s="1038"/>
      <c r="AC637" s="1038"/>
      <c r="AD637" s="1038"/>
      <c r="AE637" s="1038"/>
      <c r="AF637" s="1038"/>
      <c r="AG637" s="1038"/>
      <c r="AH637" s="1038"/>
      <c r="AI637" s="1038"/>
      <c r="AJ637" s="1038"/>
      <c r="AK637" s="1038"/>
      <c r="AL637" s="1038"/>
      <c r="AM637" s="1038"/>
      <c r="AN637" s="1038"/>
      <c r="AO637" s="1038"/>
      <c r="AP637" s="1038"/>
      <c r="AQ637" s="1038"/>
    </row>
    <row r="638" spans="4:43" ht="11.25" hidden="1" customHeight="1" outlineLevel="1">
      <c r="D638" s="1">
        <v>0</v>
      </c>
    </row>
    <row r="639" spans="4:43" ht="52.5" customHeight="1" outlineLevel="1">
      <c r="D639" s="1">
        <v>84</v>
      </c>
      <c r="AB639" s="832" t="s">
        <v>1891</v>
      </c>
      <c r="AC639" s="781"/>
      <c r="AD639" s="781"/>
      <c r="AE639" s="781"/>
      <c r="AF639" s="781"/>
      <c r="AG639" s="781"/>
      <c r="AH639" s="781"/>
      <c r="AI639" s="781"/>
      <c r="AJ639" s="781"/>
      <c r="AK639" s="781"/>
      <c r="AL639" s="781"/>
      <c r="AM639" s="781"/>
      <c r="AN639" s="781"/>
      <c r="AO639" s="781"/>
      <c r="AP639" s="781"/>
      <c r="AQ639" s="781"/>
    </row>
    <row r="640" spans="4:43" ht="27.75" customHeight="1" outlineLevel="1">
      <c r="D640" s="1">
        <v>45</v>
      </c>
      <c r="AB640" s="832" t="s">
        <v>1892</v>
      </c>
      <c r="AC640" s="781"/>
      <c r="AD640" s="781"/>
      <c r="AE640" s="781"/>
      <c r="AF640" s="781"/>
      <c r="AG640" s="781"/>
      <c r="AH640" s="781"/>
      <c r="AI640" s="781"/>
      <c r="AJ640" s="781"/>
      <c r="AK640" s="781"/>
      <c r="AL640" s="781"/>
      <c r="AM640" s="781"/>
      <c r="AN640" s="781"/>
      <c r="AO640" s="781"/>
      <c r="AP640" s="781"/>
      <c r="AQ640" s="781"/>
    </row>
    <row r="641" spans="4:43" ht="28.5" customHeight="1" outlineLevel="1">
      <c r="D641" s="1">
        <v>45</v>
      </c>
      <c r="AB641" s="832" t="s">
        <v>1893</v>
      </c>
      <c r="AC641" s="781"/>
      <c r="AD641" s="781"/>
      <c r="AE641" s="781"/>
      <c r="AF641" s="781"/>
      <c r="AG641" s="781"/>
      <c r="AH641" s="781"/>
      <c r="AI641" s="781"/>
      <c r="AJ641" s="781"/>
      <c r="AK641" s="781"/>
      <c r="AL641" s="781"/>
      <c r="AM641" s="781"/>
      <c r="AN641" s="781"/>
      <c r="AO641" s="781"/>
      <c r="AP641" s="781"/>
      <c r="AQ641" s="781"/>
    </row>
    <row r="642" spans="4:43" ht="43.5" customHeight="1" outlineLevel="1">
      <c r="D642" s="1">
        <v>71</v>
      </c>
      <c r="AB642" s="832" t="s">
        <v>1894</v>
      </c>
      <c r="AC642" s="781"/>
      <c r="AD642" s="781"/>
      <c r="AE642" s="781"/>
      <c r="AF642" s="781"/>
      <c r="AG642" s="781"/>
      <c r="AH642" s="781"/>
      <c r="AI642" s="781"/>
      <c r="AJ642" s="781"/>
      <c r="AK642" s="781"/>
      <c r="AL642" s="781"/>
      <c r="AM642" s="781"/>
      <c r="AN642" s="781"/>
      <c r="AO642" s="781"/>
      <c r="AP642" s="781"/>
      <c r="AQ642" s="781"/>
    </row>
    <row r="643" spans="4:43" ht="41.25" customHeight="1" outlineLevel="1">
      <c r="D643" s="1">
        <v>66</v>
      </c>
      <c r="AB643" s="832" t="s">
        <v>1895</v>
      </c>
      <c r="AC643" s="781"/>
      <c r="AD643" s="781"/>
      <c r="AE643" s="781"/>
      <c r="AF643" s="781"/>
      <c r="AG643" s="781"/>
      <c r="AH643" s="781"/>
      <c r="AI643" s="781"/>
      <c r="AJ643" s="781"/>
      <c r="AK643" s="781"/>
      <c r="AL643" s="781"/>
      <c r="AM643" s="781"/>
      <c r="AN643" s="781"/>
      <c r="AO643" s="781"/>
      <c r="AP643" s="781"/>
      <c r="AQ643" s="781"/>
    </row>
    <row r="644" spans="4:43" ht="42" customHeight="1" outlineLevel="1">
      <c r="D644" s="1">
        <v>68</v>
      </c>
      <c r="AB644" s="832" t="s">
        <v>1896</v>
      </c>
      <c r="AC644" s="781"/>
      <c r="AD644" s="781"/>
      <c r="AE644" s="781"/>
      <c r="AF644" s="781"/>
      <c r="AG644" s="781"/>
      <c r="AH644" s="781"/>
      <c r="AI644" s="781"/>
      <c r="AJ644" s="781"/>
      <c r="AK644" s="781"/>
      <c r="AL644" s="781"/>
      <c r="AM644" s="781"/>
      <c r="AN644" s="781"/>
      <c r="AO644" s="781"/>
      <c r="AP644" s="781"/>
      <c r="AQ644" s="781"/>
    </row>
    <row r="645" spans="4:43" ht="42" customHeight="1" outlineLevel="1">
      <c r="D645" s="1">
        <v>68</v>
      </c>
      <c r="AB645" s="832" t="s">
        <v>1897</v>
      </c>
      <c r="AC645" s="781"/>
      <c r="AD645" s="781"/>
      <c r="AE645" s="781"/>
      <c r="AF645" s="781"/>
      <c r="AG645" s="781"/>
      <c r="AH645" s="781"/>
      <c r="AI645" s="781"/>
      <c r="AJ645" s="781"/>
      <c r="AK645" s="781"/>
      <c r="AL645" s="781"/>
      <c r="AM645" s="781"/>
      <c r="AN645" s="781"/>
      <c r="AO645" s="781"/>
      <c r="AP645" s="781"/>
      <c r="AQ645" s="781"/>
    </row>
    <row r="646" spans="4:43" ht="28.5" customHeight="1" outlineLevel="1">
      <c r="D646" s="1">
        <v>45</v>
      </c>
      <c r="AB646" s="832" t="s">
        <v>1898</v>
      </c>
      <c r="AC646" s="781"/>
      <c r="AD646" s="781"/>
      <c r="AE646" s="781"/>
      <c r="AF646" s="781"/>
      <c r="AG646" s="781"/>
      <c r="AH646" s="781"/>
      <c r="AI646" s="781"/>
      <c r="AJ646" s="781"/>
      <c r="AK646" s="781"/>
      <c r="AL646" s="781"/>
      <c r="AM646" s="781"/>
      <c r="AN646" s="781"/>
      <c r="AO646" s="781"/>
      <c r="AP646" s="781"/>
      <c r="AQ646" s="781"/>
    </row>
    <row r="647" spans="4:43" ht="65.25" customHeight="1" outlineLevel="1">
      <c r="D647" s="1">
        <v>104</v>
      </c>
      <c r="AB647" s="832" t="s">
        <v>1899</v>
      </c>
      <c r="AC647" s="781"/>
      <c r="AD647" s="781"/>
      <c r="AE647" s="781"/>
      <c r="AF647" s="781"/>
      <c r="AG647" s="781"/>
      <c r="AH647" s="781"/>
      <c r="AI647" s="781"/>
      <c r="AJ647" s="781"/>
      <c r="AK647" s="781"/>
      <c r="AL647" s="781"/>
      <c r="AM647" s="781"/>
      <c r="AN647" s="781"/>
      <c r="AO647" s="781"/>
      <c r="AP647" s="781"/>
      <c r="AQ647" s="781"/>
    </row>
    <row r="648" spans="4:43" ht="28.5" customHeight="1" outlineLevel="1">
      <c r="D648" s="1">
        <v>45</v>
      </c>
      <c r="AC648" s="798"/>
      <c r="AD648" s="798"/>
      <c r="AE648" s="798"/>
      <c r="AF648" s="798"/>
      <c r="AG648" s="798"/>
      <c r="AH648" s="798"/>
      <c r="AI648" s="798"/>
      <c r="AJ648" s="66" t="s">
        <v>1900</v>
      </c>
      <c r="AK648" s="66" t="s">
        <v>1901</v>
      </c>
      <c r="AL648" s="66" t="s">
        <v>1881</v>
      </c>
      <c r="AM648" s="66" t="s">
        <v>1882</v>
      </c>
    </row>
    <row r="649" spans="4:43" ht="14.25" customHeight="1" outlineLevel="1">
      <c r="D649" s="1">
        <v>23</v>
      </c>
      <c r="AC649" s="355" t="s">
        <v>618</v>
      </c>
      <c r="AD649" s="796" t="s">
        <v>758</v>
      </c>
      <c r="AE649" s="796"/>
      <c r="AF649" s="796"/>
      <c r="AG649" s="796"/>
      <c r="AH649" s="796"/>
      <c r="AI649" s="156" t="s">
        <v>619</v>
      </c>
      <c r="AJ649" s="78">
        <v>0</v>
      </c>
      <c r="AK649" s="78">
        <v>0</v>
      </c>
      <c r="AL649" s="78">
        <v>0</v>
      </c>
      <c r="AM649" s="78">
        <v>0</v>
      </c>
    </row>
    <row r="650" spans="4:43" ht="14.25" customHeight="1" outlineLevel="1">
      <c r="D650" s="1">
        <v>23</v>
      </c>
      <c r="AC650" s="355" t="s">
        <v>622</v>
      </c>
      <c r="AD650" s="796" t="s">
        <v>560</v>
      </c>
      <c r="AE650" s="796"/>
      <c r="AF650" s="796"/>
      <c r="AG650" s="796"/>
      <c r="AH650" s="796"/>
      <c r="AI650" s="156" t="s">
        <v>619</v>
      </c>
      <c r="AJ650" s="78">
        <v>0</v>
      </c>
      <c r="AK650" s="78">
        <v>0</v>
      </c>
      <c r="AL650" s="78">
        <v>0</v>
      </c>
      <c r="AM650" s="78">
        <v>0</v>
      </c>
    </row>
    <row r="651" spans="4:43" ht="11.25" customHeight="1" outlineLevel="1">
      <c r="D651" s="1">
        <v>18</v>
      </c>
      <c r="AC651" s="355" t="s">
        <v>625</v>
      </c>
      <c r="AD651" s="796" t="s">
        <v>962</v>
      </c>
      <c r="AE651" s="796"/>
      <c r="AF651" s="796"/>
      <c r="AG651" s="796"/>
      <c r="AH651" s="796"/>
      <c r="AI651" s="156" t="s">
        <v>619</v>
      </c>
      <c r="AJ651" s="78">
        <v>0</v>
      </c>
      <c r="AK651" s="78">
        <v>0</v>
      </c>
      <c r="AL651" s="78">
        <v>0</v>
      </c>
      <c r="AM651" s="78">
        <v>0</v>
      </c>
    </row>
    <row r="652" spans="4:43" ht="11.25" customHeight="1" outlineLevel="1">
      <c r="D652" s="1">
        <v>18</v>
      </c>
      <c r="AC652" s="355" t="s">
        <v>1221</v>
      </c>
      <c r="AD652" s="796" t="s">
        <v>963</v>
      </c>
      <c r="AE652" s="796"/>
      <c r="AF652" s="796"/>
      <c r="AG652" s="796"/>
      <c r="AH652" s="796"/>
      <c r="AI652" s="156" t="s">
        <v>619</v>
      </c>
      <c r="AJ652" s="78">
        <v>0</v>
      </c>
      <c r="AK652" s="78">
        <v>0</v>
      </c>
      <c r="AL652" s="78">
        <v>0</v>
      </c>
      <c r="AM652" s="78">
        <v>0</v>
      </c>
    </row>
    <row r="653" spans="4:43" ht="11.25" customHeight="1" outlineLevel="1">
      <c r="D653" s="1">
        <v>18</v>
      </c>
      <c r="AC653" s="355" t="s">
        <v>1222</v>
      </c>
      <c r="AD653" s="796" t="s">
        <v>964</v>
      </c>
      <c r="AE653" s="796"/>
      <c r="AF653" s="796"/>
      <c r="AG653" s="796"/>
      <c r="AH653" s="796"/>
      <c r="AI653" s="156" t="s">
        <v>619</v>
      </c>
      <c r="AJ653" s="78">
        <v>0</v>
      </c>
      <c r="AK653" s="78">
        <v>0</v>
      </c>
      <c r="AL653" s="78">
        <v>0</v>
      </c>
      <c r="AM653" s="78">
        <v>0</v>
      </c>
    </row>
    <row r="654" spans="4:43" ht="11.25" customHeight="1" outlineLevel="1">
      <c r="D654" s="1">
        <v>18</v>
      </c>
      <c r="AC654" s="47" t="s">
        <v>1230</v>
      </c>
      <c r="AD654" s="796" t="s">
        <v>970</v>
      </c>
      <c r="AE654" s="796"/>
      <c r="AF654" s="796"/>
      <c r="AG654" s="796"/>
      <c r="AH654" s="796"/>
      <c r="AI654" s="156" t="s">
        <v>619</v>
      </c>
      <c r="AJ654" s="78">
        <v>0</v>
      </c>
      <c r="AK654" s="78">
        <v>0</v>
      </c>
      <c r="AL654" s="78">
        <v>0</v>
      </c>
      <c r="AM654" s="78">
        <v>0</v>
      </c>
    </row>
    <row r="655" spans="4:43" ht="11.25" customHeight="1" outlineLevel="1">
      <c r="D655" s="1">
        <v>18</v>
      </c>
      <c r="AC655" s="47" t="s">
        <v>1231</v>
      </c>
      <c r="AD655" s="796" t="s">
        <v>971</v>
      </c>
      <c r="AE655" s="796"/>
      <c r="AF655" s="796"/>
      <c r="AG655" s="796"/>
      <c r="AH655" s="796"/>
      <c r="AI655" s="156" t="s">
        <v>619</v>
      </c>
      <c r="AJ655" s="78">
        <v>0</v>
      </c>
      <c r="AK655" s="78">
        <v>0</v>
      </c>
      <c r="AL655" s="78">
        <v>0</v>
      </c>
      <c r="AM655" s="78">
        <v>0</v>
      </c>
    </row>
    <row r="656" spans="4:43" ht="11.25" customHeight="1" outlineLevel="1">
      <c r="D656" s="1">
        <v>18</v>
      </c>
      <c r="AC656" s="47" t="s">
        <v>1232</v>
      </c>
      <c r="AD656" s="796" t="s">
        <v>972</v>
      </c>
      <c r="AE656" s="796"/>
      <c r="AF656" s="796"/>
      <c r="AG656" s="796"/>
      <c r="AH656" s="796"/>
      <c r="AI656" s="156" t="s">
        <v>619</v>
      </c>
      <c r="AJ656" s="78">
        <v>0</v>
      </c>
      <c r="AK656" s="78">
        <v>0</v>
      </c>
      <c r="AL656" s="78">
        <v>0</v>
      </c>
      <c r="AM656" s="78">
        <v>0</v>
      </c>
    </row>
    <row r="657" spans="4:43" ht="11.25" customHeight="1" outlineLevel="1">
      <c r="D657" s="1">
        <v>18</v>
      </c>
      <c r="AC657" s="47" t="s">
        <v>1233</v>
      </c>
      <c r="AD657" s="796" t="s">
        <v>973</v>
      </c>
      <c r="AE657" s="796"/>
      <c r="AF657" s="796"/>
      <c r="AG657" s="796"/>
      <c r="AH657" s="796"/>
      <c r="AI657" s="156" t="s">
        <v>619</v>
      </c>
      <c r="AJ657" s="78">
        <v>0</v>
      </c>
      <c r="AK657" s="78">
        <v>0</v>
      </c>
      <c r="AL657" s="78">
        <v>0</v>
      </c>
      <c r="AM657" s="78">
        <v>0</v>
      </c>
    </row>
    <row r="658" spans="4:43" ht="11.25" customHeight="1" outlineLevel="1">
      <c r="D658" s="1">
        <v>18</v>
      </c>
      <c r="AC658" s="47" t="s">
        <v>1902</v>
      </c>
      <c r="AD658" s="796" t="s">
        <v>974</v>
      </c>
      <c r="AE658" s="796"/>
      <c r="AF658" s="796"/>
      <c r="AG658" s="796"/>
      <c r="AH658" s="796"/>
      <c r="AI658" s="156" t="s">
        <v>619</v>
      </c>
      <c r="AJ658" s="78">
        <v>0</v>
      </c>
      <c r="AK658" s="78">
        <v>0</v>
      </c>
      <c r="AL658" s="78">
        <v>0</v>
      </c>
      <c r="AM658" s="78">
        <v>0</v>
      </c>
    </row>
    <row r="659" spans="4:43" ht="11.25" customHeight="1" outlineLevel="1">
      <c r="D659" s="1">
        <v>18</v>
      </c>
      <c r="AC659" s="47" t="s">
        <v>1903</v>
      </c>
      <c r="AD659" s="796" t="s">
        <v>975</v>
      </c>
      <c r="AE659" s="796"/>
      <c r="AF659" s="796"/>
      <c r="AG659" s="796"/>
      <c r="AH659" s="796"/>
      <c r="AI659" s="156" t="s">
        <v>619</v>
      </c>
      <c r="AJ659" s="78">
        <v>0</v>
      </c>
      <c r="AK659" s="78">
        <v>0</v>
      </c>
      <c r="AL659" s="78">
        <v>0</v>
      </c>
      <c r="AM659" s="78">
        <v>0</v>
      </c>
    </row>
    <row r="660" spans="4:43" ht="11.25" customHeight="1" outlineLevel="1">
      <c r="D660" s="1">
        <v>18</v>
      </c>
      <c r="AC660" s="47" t="s">
        <v>1904</v>
      </c>
      <c r="AD660" s="796" t="s">
        <v>978</v>
      </c>
      <c r="AE660" s="796"/>
      <c r="AF660" s="796"/>
      <c r="AG660" s="796"/>
      <c r="AH660" s="796"/>
      <c r="AI660" s="156" t="s">
        <v>619</v>
      </c>
      <c r="AJ660" s="78">
        <v>0</v>
      </c>
      <c r="AK660" s="78">
        <v>0</v>
      </c>
      <c r="AL660" s="78">
        <v>0</v>
      </c>
      <c r="AM660" s="78">
        <v>0</v>
      </c>
    </row>
    <row r="661" spans="4:43" ht="11.25" customHeight="1" outlineLevel="1">
      <c r="D661" s="1">
        <v>18</v>
      </c>
      <c r="AC661" s="47" t="s">
        <v>905</v>
      </c>
      <c r="AD661" s="796" t="s">
        <v>984</v>
      </c>
      <c r="AE661" s="796"/>
      <c r="AF661" s="796"/>
      <c r="AG661" s="796"/>
      <c r="AH661" s="796"/>
      <c r="AI661" s="156" t="s">
        <v>619</v>
      </c>
      <c r="AJ661" s="78">
        <v>0</v>
      </c>
      <c r="AK661" s="78">
        <v>0</v>
      </c>
      <c r="AL661" s="78">
        <v>0</v>
      </c>
      <c r="AM661" s="78">
        <v>0</v>
      </c>
    </row>
    <row r="662" spans="4:43" ht="11.25" customHeight="1" outlineLevel="1">
      <c r="D662" s="1">
        <v>18</v>
      </c>
    </row>
    <row r="663" spans="4:43" ht="28.5" customHeight="1" outlineLevel="1">
      <c r="D663" s="1">
        <v>45</v>
      </c>
      <c r="AB663" s="832" t="s">
        <v>1905</v>
      </c>
      <c r="AC663" s="781"/>
      <c r="AD663" s="781"/>
      <c r="AE663" s="781"/>
      <c r="AF663" s="781"/>
      <c r="AG663" s="781"/>
      <c r="AH663" s="781"/>
      <c r="AI663" s="781"/>
      <c r="AJ663" s="781"/>
      <c r="AK663" s="781"/>
      <c r="AL663" s="781"/>
      <c r="AM663" s="781"/>
      <c r="AN663" s="781"/>
      <c r="AO663" s="781"/>
      <c r="AP663" s="781"/>
      <c r="AQ663" s="781"/>
    </row>
    <row r="664" spans="4:43" ht="28.5" customHeight="1" outlineLevel="1">
      <c r="D664" s="1">
        <v>45</v>
      </c>
      <c r="AB664" s="1038"/>
      <c r="AC664" s="1038"/>
      <c r="AD664" s="1038"/>
      <c r="AE664" s="1038"/>
      <c r="AF664" s="1038"/>
      <c r="AG664" s="1038"/>
      <c r="AH664" s="1038"/>
      <c r="AI664" s="1038"/>
      <c r="AJ664" s="1038"/>
      <c r="AK664" s="1038"/>
      <c r="AL664" s="1038"/>
      <c r="AM664" s="1038"/>
      <c r="AN664" s="1038"/>
      <c r="AO664" s="1038"/>
      <c r="AP664" s="1038"/>
      <c r="AQ664" s="1038"/>
    </row>
    <row r="665" spans="4:43" ht="28.5" customHeight="1" outlineLevel="1">
      <c r="D665" s="1">
        <v>45</v>
      </c>
      <c r="AB665" s="1038"/>
      <c r="AC665" s="1038"/>
      <c r="AD665" s="1038"/>
      <c r="AE665" s="1038"/>
      <c r="AF665" s="1038"/>
      <c r="AG665" s="1038"/>
      <c r="AH665" s="1038"/>
      <c r="AI665" s="1038"/>
      <c r="AJ665" s="1038"/>
      <c r="AK665" s="1038"/>
      <c r="AL665" s="1038"/>
      <c r="AM665" s="1038"/>
      <c r="AN665" s="1038"/>
      <c r="AO665" s="1038"/>
      <c r="AP665" s="1038"/>
      <c r="AQ665" s="1038"/>
    </row>
    <row r="666" spans="4:43" ht="28.5" customHeight="1" outlineLevel="1">
      <c r="D666" s="1">
        <v>45</v>
      </c>
      <c r="AB666" s="1038"/>
      <c r="AC666" s="1038"/>
      <c r="AD666" s="1038"/>
      <c r="AE666" s="1038"/>
      <c r="AF666" s="1038"/>
      <c r="AG666" s="1038"/>
      <c r="AH666" s="1038"/>
      <c r="AI666" s="1038"/>
      <c r="AJ666" s="1038"/>
      <c r="AK666" s="1038"/>
      <c r="AL666" s="1038"/>
      <c r="AM666" s="1038"/>
      <c r="AN666" s="1038"/>
      <c r="AO666" s="1038"/>
      <c r="AP666" s="1038"/>
      <c r="AQ666" s="1038"/>
    </row>
    <row r="667" spans="4:43" ht="28.5" customHeight="1" outlineLevel="1">
      <c r="D667" s="1">
        <v>45</v>
      </c>
      <c r="AB667" s="1038"/>
      <c r="AC667" s="1038"/>
      <c r="AD667" s="1038"/>
      <c r="AE667" s="1038"/>
      <c r="AF667" s="1038"/>
      <c r="AG667" s="1038"/>
      <c r="AH667" s="1038"/>
      <c r="AI667" s="1038"/>
      <c r="AJ667" s="1038"/>
      <c r="AK667" s="1038"/>
      <c r="AL667" s="1038"/>
      <c r="AM667" s="1038"/>
      <c r="AN667" s="1038"/>
      <c r="AO667" s="1038"/>
      <c r="AP667" s="1038"/>
      <c r="AQ667" s="1038"/>
    </row>
    <row r="668" spans="4:43" ht="28.5" customHeight="1" outlineLevel="1">
      <c r="D668" s="1">
        <v>45</v>
      </c>
      <c r="AB668" s="1038"/>
      <c r="AC668" s="1038"/>
      <c r="AD668" s="1038"/>
      <c r="AE668" s="1038"/>
      <c r="AF668" s="1038"/>
      <c r="AG668" s="1038"/>
      <c r="AH668" s="1038"/>
      <c r="AI668" s="1038"/>
      <c r="AJ668" s="1038"/>
      <c r="AK668" s="1038"/>
      <c r="AL668" s="1038"/>
      <c r="AM668" s="1038"/>
      <c r="AN668" s="1038"/>
      <c r="AO668" s="1038"/>
      <c r="AP668" s="1038"/>
      <c r="AQ668" s="1038"/>
    </row>
    <row r="669" spans="4:43" ht="11.25" hidden="1" customHeight="1">
      <c r="D669" s="1">
        <v>0</v>
      </c>
    </row>
    <row r="670" spans="4:43" ht="28.5" customHeight="1">
      <c r="D670" s="1">
        <v>45</v>
      </c>
      <c r="AB670" s="1122" t="s">
        <v>1611</v>
      </c>
      <c r="AC670" s="781"/>
      <c r="AD670" s="781"/>
      <c r="AE670" s="781"/>
      <c r="AF670" s="781"/>
      <c r="AG670" s="781"/>
      <c r="AH670" s="781"/>
      <c r="AI670" s="781"/>
      <c r="AJ670" s="781"/>
      <c r="AK670" s="781"/>
      <c r="AL670" s="781"/>
      <c r="AM670" s="781"/>
      <c r="AN670" s="781"/>
      <c r="AO670" s="781"/>
      <c r="AP670" s="781"/>
      <c r="AQ670" s="781"/>
    </row>
    <row r="671" spans="4:43" ht="38.25" customHeight="1">
      <c r="D671" s="1">
        <v>61</v>
      </c>
      <c r="AB671" s="1120" t="s">
        <v>1906</v>
      </c>
      <c r="AC671" s="781"/>
      <c r="AD671" s="781"/>
      <c r="AE671" s="781"/>
      <c r="AF671" s="781"/>
      <c r="AG671" s="781"/>
      <c r="AH671" s="781"/>
      <c r="AI671" s="781"/>
      <c r="AJ671" s="781"/>
      <c r="AK671" s="781"/>
      <c r="AL671" s="781"/>
      <c r="AM671" s="781"/>
      <c r="AN671" s="781"/>
      <c r="AO671" s="781"/>
      <c r="AP671" s="781"/>
      <c r="AQ671" s="781"/>
    </row>
    <row r="672" spans="4:43" ht="38.25" customHeight="1">
      <c r="D672" s="1">
        <v>61</v>
      </c>
      <c r="AB672" s="1120" t="s">
        <v>1612</v>
      </c>
      <c r="AC672" s="781"/>
      <c r="AD672" s="781"/>
      <c r="AE672" s="781"/>
      <c r="AF672" s="781"/>
      <c r="AG672" s="781"/>
      <c r="AH672" s="781"/>
      <c r="AI672" s="781"/>
      <c r="AJ672" s="781"/>
      <c r="AK672" s="781"/>
      <c r="AL672" s="781"/>
      <c r="AM672" s="781"/>
      <c r="AN672" s="781"/>
      <c r="AO672" s="781"/>
      <c r="AP672" s="781"/>
      <c r="AQ672" s="781"/>
    </row>
    <row r="673" spans="4:43" ht="38.25" customHeight="1">
      <c r="D673" s="1">
        <v>61</v>
      </c>
      <c r="AB673" s="1120" t="s">
        <v>1907</v>
      </c>
      <c r="AC673" s="781"/>
      <c r="AD673" s="781"/>
      <c r="AE673" s="781"/>
      <c r="AF673" s="781"/>
      <c r="AG673" s="781"/>
      <c r="AH673" s="781"/>
      <c r="AI673" s="781"/>
      <c r="AJ673" s="781"/>
      <c r="AK673" s="781"/>
      <c r="AL673" s="781"/>
      <c r="AM673" s="781"/>
      <c r="AN673" s="781"/>
      <c r="AO673" s="781"/>
      <c r="AP673" s="781"/>
      <c r="AQ673" s="781"/>
    </row>
    <row r="674" spans="4:43" ht="23.25" customHeight="1">
      <c r="D674" s="1">
        <v>37</v>
      </c>
      <c r="AC674" s="798"/>
      <c r="AD674" s="798"/>
      <c r="AE674" s="798"/>
      <c r="AF674" s="798"/>
      <c r="AG674" s="798"/>
      <c r="AH674" s="798"/>
      <c r="AI674" s="66" t="s">
        <v>1884</v>
      </c>
    </row>
    <row r="675" spans="4:43" ht="11.25" customHeight="1">
      <c r="D675" s="1">
        <v>18</v>
      </c>
      <c r="AC675" s="1121" t="s">
        <v>1908</v>
      </c>
      <c r="AD675" s="1121"/>
      <c r="AE675" s="1121"/>
      <c r="AF675" s="1121"/>
      <c r="AG675" s="1121"/>
      <c r="AH675" s="156" t="s">
        <v>619</v>
      </c>
      <c r="AI675" s="78">
        <v>0</v>
      </c>
    </row>
    <row r="676" spans="4:43" ht="23.25" customHeight="1">
      <c r="D676" s="1">
        <v>37</v>
      </c>
      <c r="AC676" s="796" t="s">
        <v>953</v>
      </c>
      <c r="AD676" s="796"/>
      <c r="AE676" s="796"/>
      <c r="AF676" s="796"/>
      <c r="AG676" s="796"/>
      <c r="AH676" s="156" t="s">
        <v>619</v>
      </c>
      <c r="AI676" s="78">
        <v>0</v>
      </c>
    </row>
    <row r="677" spans="4:43" ht="11.25" customHeight="1">
      <c r="D677" s="1">
        <v>18</v>
      </c>
      <c r="AC677" s="796" t="s">
        <v>987</v>
      </c>
      <c r="AD677" s="796"/>
      <c r="AE677" s="796"/>
      <c r="AF677" s="796"/>
      <c r="AG677" s="796"/>
      <c r="AH677" s="156" t="s">
        <v>619</v>
      </c>
      <c r="AI677" s="78">
        <v>0</v>
      </c>
    </row>
    <row r="678" spans="4:43" ht="24" customHeight="1">
      <c r="D678" s="1">
        <v>39</v>
      </c>
      <c r="AC678" s="796" t="s">
        <v>1909</v>
      </c>
      <c r="AD678" s="796"/>
      <c r="AE678" s="796"/>
      <c r="AF678" s="796"/>
      <c r="AG678" s="796"/>
      <c r="AH678" s="156" t="s">
        <v>619</v>
      </c>
      <c r="AI678" s="78">
        <v>0</v>
      </c>
    </row>
    <row r="679" spans="4:43" ht="15" customHeight="1">
      <c r="D679" s="1">
        <v>24</v>
      </c>
      <c r="AC679" s="796" t="s">
        <v>1614</v>
      </c>
      <c r="AD679" s="796"/>
      <c r="AE679" s="796"/>
      <c r="AF679" s="796"/>
      <c r="AG679" s="796"/>
      <c r="AH679" s="156" t="s">
        <v>619</v>
      </c>
      <c r="AI679" s="78">
        <v>0</v>
      </c>
    </row>
    <row r="680" spans="4:43" ht="21.75" customHeight="1">
      <c r="D680" s="1">
        <v>36</v>
      </c>
      <c r="AC680" s="1121" t="s">
        <v>1615</v>
      </c>
      <c r="AD680" s="1121"/>
      <c r="AE680" s="1121"/>
      <c r="AF680" s="1121"/>
      <c r="AG680" s="1121"/>
      <c r="AH680" s="156" t="s">
        <v>619</v>
      </c>
      <c r="AI680" s="78">
        <v>0</v>
      </c>
    </row>
    <row r="681" spans="4:43" ht="11.25" customHeight="1">
      <c r="D681" s="1">
        <v>20</v>
      </c>
    </row>
    <row r="682" spans="4:43" ht="38.25" customHeight="1">
      <c r="D682" s="1">
        <v>61</v>
      </c>
      <c r="AB682" s="1120" t="s">
        <v>1910</v>
      </c>
      <c r="AC682" s="781"/>
      <c r="AD682" s="781"/>
      <c r="AE682" s="781"/>
      <c r="AF682" s="781"/>
      <c r="AG682" s="781"/>
      <c r="AH682" s="781"/>
      <c r="AI682" s="781"/>
      <c r="AJ682" s="781"/>
      <c r="AK682" s="781"/>
      <c r="AL682" s="781"/>
      <c r="AM682" s="781"/>
      <c r="AN682" s="781"/>
      <c r="AO682" s="781"/>
      <c r="AP682" s="781"/>
      <c r="AQ682" s="781"/>
    </row>
    <row r="683" spans="4:43" ht="23.25" customHeight="1">
      <c r="D683" s="1">
        <v>37</v>
      </c>
      <c r="AC683" s="798"/>
      <c r="AD683" s="798"/>
      <c r="AE683" s="798"/>
      <c r="AF683" s="798"/>
      <c r="AG683" s="798"/>
      <c r="AH683" s="798"/>
      <c r="AI683" s="66" t="s">
        <v>1884</v>
      </c>
      <c r="AJ683" s="66" t="s">
        <v>1911</v>
      </c>
      <c r="AK683" s="66" t="s">
        <v>1912</v>
      </c>
      <c r="AL683" s="66" t="s">
        <v>1913</v>
      </c>
      <c r="AM683" s="66" t="s">
        <v>1914</v>
      </c>
    </row>
    <row r="684" spans="4:43" ht="11.25" customHeight="1">
      <c r="D684" s="1">
        <v>18</v>
      </c>
      <c r="AC684" s="1121" t="s">
        <v>1908</v>
      </c>
      <c r="AD684" s="1121"/>
      <c r="AE684" s="1121"/>
      <c r="AF684" s="1121"/>
      <c r="AG684" s="1121"/>
      <c r="AH684" s="156" t="s">
        <v>619</v>
      </c>
      <c r="AI684" s="78">
        <v>0</v>
      </c>
      <c r="AJ684" s="78">
        <v>0</v>
      </c>
      <c r="AK684" s="78">
        <v>0</v>
      </c>
      <c r="AL684" s="78">
        <v>0</v>
      </c>
      <c r="AM684" s="78">
        <v>0</v>
      </c>
    </row>
    <row r="685" spans="4:43" ht="11.25" customHeight="1">
      <c r="D685" s="1">
        <v>20</v>
      </c>
    </row>
    <row r="686" spans="4:43" ht="28.5" customHeight="1">
      <c r="D686" s="1">
        <v>45</v>
      </c>
      <c r="AB686" s="1123"/>
      <c r="AC686" s="1123"/>
      <c r="AD686" s="1123"/>
      <c r="AE686" s="1123"/>
      <c r="AF686" s="1123"/>
      <c r="AG686" s="1123"/>
      <c r="AH686" s="1123"/>
      <c r="AJ686" s="1123"/>
      <c r="AK686" s="1123"/>
      <c r="AL686" s="1123"/>
      <c r="AM686" s="1123"/>
      <c r="AN686" s="1123"/>
      <c r="AO686" s="1123"/>
      <c r="AP686" s="1123"/>
      <c r="AQ686" s="1123"/>
    </row>
    <row r="687" spans="4:43" ht="11.25" hidden="1" customHeight="1">
      <c r="D687" s="1">
        <v>0</v>
      </c>
    </row>
    <row r="688" spans="4:43" ht="11.25" hidden="1" customHeight="1">
      <c r="D688" s="1">
        <v>0</v>
      </c>
    </row>
    <row r="689" spans="4:47" ht="11.25" customHeight="1">
      <c r="D689" s="1">
        <v>18</v>
      </c>
      <c r="AB689" s="29" t="s">
        <v>1622</v>
      </c>
    </row>
    <row r="690" spans="4:47" ht="28.5" customHeight="1">
      <c r="D690" s="1">
        <v>45</v>
      </c>
      <c r="AB690" s="1038"/>
      <c r="AC690" s="1038"/>
      <c r="AD690" s="1038"/>
      <c r="AE690" s="1038"/>
      <c r="AF690" s="1038"/>
      <c r="AG690" s="1038"/>
      <c r="AH690" s="1038"/>
      <c r="AJ690" s="1038"/>
      <c r="AK690" s="1038"/>
      <c r="AL690" s="1038"/>
      <c r="AM690" s="1038"/>
      <c r="AN690" s="1038"/>
      <c r="AO690" s="1038"/>
      <c r="AP690" s="1038"/>
      <c r="AQ690" s="1038"/>
    </row>
    <row r="691" spans="4:47" ht="11.25" hidden="1" customHeight="1">
      <c r="D691" s="1">
        <v>0</v>
      </c>
    </row>
    <row r="692" spans="4:47" ht="28.5" customHeight="1">
      <c r="D692" s="1">
        <v>45</v>
      </c>
      <c r="AB692" s="1038"/>
      <c r="AC692" s="1038"/>
      <c r="AD692" s="1038"/>
      <c r="AE692" s="1038"/>
      <c r="AF692" s="1038"/>
      <c r="AG692" s="1038"/>
      <c r="AH692" s="1038"/>
      <c r="AJ692" s="1038"/>
      <c r="AK692" s="1038"/>
      <c r="AL692" s="1038"/>
      <c r="AM692" s="1038"/>
      <c r="AN692" s="1038"/>
      <c r="AO692" s="1038"/>
      <c r="AP692" s="1038"/>
      <c r="AQ692" s="1038"/>
    </row>
    <row r="693" spans="4:47" ht="11.25" hidden="1" customHeight="1">
      <c r="D693" s="1">
        <v>0</v>
      </c>
    </row>
    <row r="694" spans="4:47" ht="28.5" customHeight="1">
      <c r="D694" s="1">
        <v>45</v>
      </c>
      <c r="AB694" s="1038"/>
      <c r="AC694" s="1038"/>
      <c r="AD694" s="1038"/>
      <c r="AE694" s="1038"/>
      <c r="AF694" s="1038"/>
      <c r="AG694" s="1038"/>
      <c r="AH694" s="1038"/>
      <c r="AJ694" s="1038"/>
      <c r="AK694" s="1038"/>
      <c r="AL694" s="1038"/>
      <c r="AM694" s="1038"/>
      <c r="AN694" s="1038"/>
      <c r="AO694" s="1038"/>
      <c r="AP694" s="1038"/>
      <c r="AQ694" s="1038"/>
    </row>
    <row r="695" spans="4:47" ht="11.25" hidden="1" customHeight="1">
      <c r="D695" s="1">
        <v>0</v>
      </c>
    </row>
    <row r="696" spans="4:47" ht="28.5" customHeight="1">
      <c r="D696" s="1">
        <v>45</v>
      </c>
      <c r="AB696" s="1038"/>
      <c r="AC696" s="1038"/>
      <c r="AD696" s="1038"/>
      <c r="AE696" s="1038"/>
      <c r="AF696" s="1038"/>
      <c r="AG696" s="1038"/>
      <c r="AH696" s="1038"/>
      <c r="AJ696" s="1038"/>
      <c r="AK696" s="1038"/>
      <c r="AL696" s="1038"/>
      <c r="AM696" s="1038"/>
      <c r="AN696" s="1038"/>
      <c r="AO696" s="1038"/>
      <c r="AP696" s="1038"/>
      <c r="AQ696" s="1038"/>
    </row>
    <row r="697" spans="4:47" ht="11.25" hidden="1" customHeight="1">
      <c r="D697">
        <v>0</v>
      </c>
      <c r="AU697" t="s">
        <v>42</v>
      </c>
    </row>
  </sheetData>
  <sheetProtection formatColumns="0" formatRows="0" insertRows="0" deleteColumns="0" deleteRows="0" sort="0" autoFilter="0"/>
  <mergeCells count="684">
    <mergeCell ref="AB696:AH696"/>
    <mergeCell ref="AJ696:AQ696"/>
    <mergeCell ref="AB690:AH690"/>
    <mergeCell ref="AJ690:AQ690"/>
    <mergeCell ref="AB692:AH692"/>
    <mergeCell ref="AJ692:AQ692"/>
    <mergeCell ref="AB694:AH694"/>
    <mergeCell ref="AJ694:AQ694"/>
    <mergeCell ref="AC679:AG679"/>
    <mergeCell ref="AC680:AG680"/>
    <mergeCell ref="AB682:AQ682"/>
    <mergeCell ref="AC683:AH683"/>
    <mergeCell ref="AC684:AG684"/>
    <mergeCell ref="AB686:AH686"/>
    <mergeCell ref="AJ686:AQ686"/>
    <mergeCell ref="AB673:AQ673"/>
    <mergeCell ref="AC674:AH674"/>
    <mergeCell ref="AC675:AG675"/>
    <mergeCell ref="AC676:AG676"/>
    <mergeCell ref="AC677:AG677"/>
    <mergeCell ref="AC678:AG678"/>
    <mergeCell ref="AB666:AQ666"/>
    <mergeCell ref="AB667:AQ667"/>
    <mergeCell ref="AB668:AQ668"/>
    <mergeCell ref="AB670:AQ670"/>
    <mergeCell ref="AB671:AQ671"/>
    <mergeCell ref="AB672:AQ672"/>
    <mergeCell ref="AD659:AH659"/>
    <mergeCell ref="AD660:AH660"/>
    <mergeCell ref="AD661:AH661"/>
    <mergeCell ref="AB663:AQ663"/>
    <mergeCell ref="AB664:AQ664"/>
    <mergeCell ref="AB665:AQ665"/>
    <mergeCell ref="AD653:AH653"/>
    <mergeCell ref="AD654:AH654"/>
    <mergeCell ref="AD655:AH655"/>
    <mergeCell ref="AD656:AH656"/>
    <mergeCell ref="AD657:AH657"/>
    <mergeCell ref="AD658:AH658"/>
    <mergeCell ref="AB647:AQ647"/>
    <mergeCell ref="AC648:AI648"/>
    <mergeCell ref="AD649:AH649"/>
    <mergeCell ref="AD650:AH650"/>
    <mergeCell ref="AD651:AH651"/>
    <mergeCell ref="AD652:AH652"/>
    <mergeCell ref="AB641:AQ641"/>
    <mergeCell ref="AB642:AQ642"/>
    <mergeCell ref="AB643:AQ643"/>
    <mergeCell ref="AB644:AQ644"/>
    <mergeCell ref="AB645:AQ645"/>
    <mergeCell ref="AB646:AQ646"/>
    <mergeCell ref="AB635:AE635"/>
    <mergeCell ref="AB636:AH636"/>
    <mergeCell ref="AI636:AQ636"/>
    <mergeCell ref="AB637:AQ637"/>
    <mergeCell ref="AB639:AQ639"/>
    <mergeCell ref="AB640:AQ640"/>
    <mergeCell ref="AC626:AG626"/>
    <mergeCell ref="AD627:AF627"/>
    <mergeCell ref="AD628:AF628"/>
    <mergeCell ref="AD629:AF629"/>
    <mergeCell ref="AB631:AQ631"/>
    <mergeCell ref="AB633:AQ633"/>
    <mergeCell ref="AB622:AQ622"/>
    <mergeCell ref="AB623:AL623"/>
    <mergeCell ref="AM623:AN623"/>
    <mergeCell ref="AP623:AQ623"/>
    <mergeCell ref="AB624:AQ624"/>
    <mergeCell ref="AB625:AQ625"/>
    <mergeCell ref="AD615:AH615"/>
    <mergeCell ref="AD616:AH616"/>
    <mergeCell ref="AD617:AH617"/>
    <mergeCell ref="AD618:AH618"/>
    <mergeCell ref="AA620:AA621"/>
    <mergeCell ref="AB620:AQ620"/>
    <mergeCell ref="AB621:AQ621"/>
    <mergeCell ref="AD610:AF610"/>
    <mergeCell ref="AG610:AJ610"/>
    <mergeCell ref="AD611:AH611"/>
    <mergeCell ref="AD612:AH612"/>
    <mergeCell ref="AD613:AH613"/>
    <mergeCell ref="AD614:AH614"/>
    <mergeCell ref="AB583:AQ583"/>
    <mergeCell ref="AB584:AQ584"/>
    <mergeCell ref="AB585:AQ585"/>
    <mergeCell ref="AB586:AQ586"/>
    <mergeCell ref="AB587:AQ587"/>
    <mergeCell ref="AB609:AQ609"/>
    <mergeCell ref="AB577:AQ577"/>
    <mergeCell ref="AB578:AQ578"/>
    <mergeCell ref="AB579:AQ579"/>
    <mergeCell ref="AB580:AQ580"/>
    <mergeCell ref="AB581:AQ581"/>
    <mergeCell ref="AB582:AQ582"/>
    <mergeCell ref="AD570:AF570"/>
    <mergeCell ref="AD571:AF571"/>
    <mergeCell ref="AD572:AF572"/>
    <mergeCell ref="AD573:AF573"/>
    <mergeCell ref="AD574:AF574"/>
    <mergeCell ref="AB576:AQ576"/>
    <mergeCell ref="AD562:AF562"/>
    <mergeCell ref="AD563:AF563"/>
    <mergeCell ref="AD564:AF564"/>
    <mergeCell ref="AD565:AF565"/>
    <mergeCell ref="AD566:AF566"/>
    <mergeCell ref="AB568:AQ568"/>
    <mergeCell ref="AB555:AQ555"/>
    <mergeCell ref="AB556:AQ556"/>
    <mergeCell ref="AB557:AQ557"/>
    <mergeCell ref="AB558:AQ558"/>
    <mergeCell ref="AB559:AQ559"/>
    <mergeCell ref="AD561:AF561"/>
    <mergeCell ref="AB530:AQ530"/>
    <mergeCell ref="AC531:AQ531"/>
    <mergeCell ref="AB532:AQ532"/>
    <mergeCell ref="AB533:AQ533"/>
    <mergeCell ref="AB534:AQ534"/>
    <mergeCell ref="AB535:AQ535"/>
    <mergeCell ref="AD525:AG525"/>
    <mergeCell ref="AK525:AL525"/>
    <mergeCell ref="AD526:AG526"/>
    <mergeCell ref="AK526:AL526"/>
    <mergeCell ref="AD527:AG527"/>
    <mergeCell ref="AI527:AL527"/>
    <mergeCell ref="AD522:AG522"/>
    <mergeCell ref="AK522:AL522"/>
    <mergeCell ref="AD523:AG523"/>
    <mergeCell ref="AK523:AL523"/>
    <mergeCell ref="AD524:AG524"/>
    <mergeCell ref="AK524:AL524"/>
    <mergeCell ref="AD519:AG519"/>
    <mergeCell ref="AK519:AL519"/>
    <mergeCell ref="AD520:AG520"/>
    <mergeCell ref="AK520:AL520"/>
    <mergeCell ref="AD521:AG521"/>
    <mergeCell ref="AK521:AL521"/>
    <mergeCell ref="AD516:AG516"/>
    <mergeCell ref="AK516:AL516"/>
    <mergeCell ref="AD517:AG517"/>
    <mergeCell ref="AK517:AL517"/>
    <mergeCell ref="AD518:AG518"/>
    <mergeCell ref="AK518:AL518"/>
    <mergeCell ref="AD513:AG513"/>
    <mergeCell ref="AK513:AL513"/>
    <mergeCell ref="AD514:AG514"/>
    <mergeCell ref="AK514:AL514"/>
    <mergeCell ref="AD515:AG515"/>
    <mergeCell ref="AK515:AL515"/>
    <mergeCell ref="AB509:AQ509"/>
    <mergeCell ref="AC510:AH510"/>
    <mergeCell ref="AK510:AL510"/>
    <mergeCell ref="AD511:AG511"/>
    <mergeCell ref="AK511:AL511"/>
    <mergeCell ref="AD512:AG512"/>
    <mergeCell ref="AK512:AL512"/>
    <mergeCell ref="AB503:AQ503"/>
    <mergeCell ref="AC504:AQ504"/>
    <mergeCell ref="AB505:AQ505"/>
    <mergeCell ref="AB506:AQ506"/>
    <mergeCell ref="AB507:AQ507"/>
    <mergeCell ref="AB508:AQ508"/>
    <mergeCell ref="AD496:AF496"/>
    <mergeCell ref="AD497:AF497"/>
    <mergeCell ref="AD498:AF498"/>
    <mergeCell ref="AD499:AF499"/>
    <mergeCell ref="AD500:AF500"/>
    <mergeCell ref="AD501:AF501"/>
    <mergeCell ref="AB490:AQ490"/>
    <mergeCell ref="AB491:AQ491"/>
    <mergeCell ref="AB492:AQ492"/>
    <mergeCell ref="AD493:AF493"/>
    <mergeCell ref="AD494:AF494"/>
    <mergeCell ref="AD495:AF495"/>
    <mergeCell ref="AB483:AQ483"/>
    <mergeCell ref="AB484:AQ484"/>
    <mergeCell ref="AB485:AQ485"/>
    <mergeCell ref="AB486:AQ486"/>
    <mergeCell ref="AB487:AQ487"/>
    <mergeCell ref="AC489:AQ489"/>
    <mergeCell ref="AB477:AQ477"/>
    <mergeCell ref="AB478:AQ478"/>
    <mergeCell ref="AB479:AQ479"/>
    <mergeCell ref="AB480:AQ480"/>
    <mergeCell ref="AB481:AQ481"/>
    <mergeCell ref="AB482:AQ482"/>
    <mergeCell ref="AB470:AQ470"/>
    <mergeCell ref="AB471:AQ471"/>
    <mergeCell ref="AB472:AQ472"/>
    <mergeCell ref="AB474:AQ474"/>
    <mergeCell ref="AB475:AQ475"/>
    <mergeCell ref="AB476:AQ476"/>
    <mergeCell ref="AB463:AQ463"/>
    <mergeCell ref="AB464:AQ464"/>
    <mergeCell ref="AB465:AQ465"/>
    <mergeCell ref="AB467:AQ467"/>
    <mergeCell ref="AB468:AQ468"/>
    <mergeCell ref="AB469:AQ469"/>
    <mergeCell ref="AB457:AQ457"/>
    <mergeCell ref="AB458:AQ458"/>
    <mergeCell ref="AB459:AQ459"/>
    <mergeCell ref="AB460:AQ460"/>
    <mergeCell ref="AB461:AQ461"/>
    <mergeCell ref="AB462:AQ462"/>
    <mergeCell ref="AB451:AQ451"/>
    <mergeCell ref="AB452:AQ452"/>
    <mergeCell ref="AB453:AQ453"/>
    <mergeCell ref="AB454:AQ454"/>
    <mergeCell ref="AB455:AQ455"/>
    <mergeCell ref="AB456:AQ456"/>
    <mergeCell ref="AB445:AP445"/>
    <mergeCell ref="AB446:AQ446"/>
    <mergeCell ref="AB447:AQ447"/>
    <mergeCell ref="AB448:AQ448"/>
    <mergeCell ref="AB449:AQ449"/>
    <mergeCell ref="AB450:AQ450"/>
    <mergeCell ref="AB441:AG441"/>
    <mergeCell ref="AI441:AS441"/>
    <mergeCell ref="AB442:AG442"/>
    <mergeCell ref="AI442:AS442"/>
    <mergeCell ref="AB443:AQ443"/>
    <mergeCell ref="AB444:AQ444"/>
    <mergeCell ref="AB436:AQ436"/>
    <mergeCell ref="AA437:AA438"/>
    <mergeCell ref="AB437:AQ437"/>
    <mergeCell ref="AB438:AQ438"/>
    <mergeCell ref="AB439:AQ439"/>
    <mergeCell ref="AB440:AQ440"/>
    <mergeCell ref="AB430:AQ430"/>
    <mergeCell ref="AB431:AQ431"/>
    <mergeCell ref="AB432:AQ432"/>
    <mergeCell ref="AB433:AG433"/>
    <mergeCell ref="AB434:AQ434"/>
    <mergeCell ref="AB435:AQ435"/>
    <mergeCell ref="AB425:AQ425"/>
    <mergeCell ref="AB426:AD426"/>
    <mergeCell ref="AG426:AQ426"/>
    <mergeCell ref="AB427:AQ427"/>
    <mergeCell ref="AB428:AQ428"/>
    <mergeCell ref="AB429:AQ429"/>
    <mergeCell ref="AB419:AQ419"/>
    <mergeCell ref="AB420:AQ420"/>
    <mergeCell ref="AB421:AQ421"/>
    <mergeCell ref="AB422:AQ422"/>
    <mergeCell ref="AB423:AQ423"/>
    <mergeCell ref="AB424:AD424"/>
    <mergeCell ref="AG424:AQ424"/>
    <mergeCell ref="AB413:AQ413"/>
    <mergeCell ref="AB414:AQ414"/>
    <mergeCell ref="AB415:AQ415"/>
    <mergeCell ref="AB416:AQ416"/>
    <mergeCell ref="AB417:AQ417"/>
    <mergeCell ref="AB418:AQ418"/>
    <mergeCell ref="AC405:AF405"/>
    <mergeCell ref="AB407:AQ407"/>
    <mergeCell ref="AB409:AQ409"/>
    <mergeCell ref="AA411:AA412"/>
    <mergeCell ref="AB411:AQ411"/>
    <mergeCell ref="AB412:AQ412"/>
    <mergeCell ref="AC399:AF399"/>
    <mergeCell ref="AC400:AF400"/>
    <mergeCell ref="AC401:AF401"/>
    <mergeCell ref="AC402:AF402"/>
    <mergeCell ref="AC403:AF403"/>
    <mergeCell ref="AC404:AF404"/>
    <mergeCell ref="AB393:AQ393"/>
    <mergeCell ref="AB394:AQ394"/>
    <mergeCell ref="AB395:AQ395"/>
    <mergeCell ref="AB396:AQ396"/>
    <mergeCell ref="AB397:AQ397"/>
    <mergeCell ref="AC398:AG398"/>
    <mergeCell ref="AB386:AQ386"/>
    <mergeCell ref="AB387:AQ387"/>
    <mergeCell ref="AB389:AQ389"/>
    <mergeCell ref="AB390:AQ390"/>
    <mergeCell ref="AB391:AQ391"/>
    <mergeCell ref="AB392:AQ392"/>
    <mergeCell ref="AB379:AQ379"/>
    <mergeCell ref="AB381:AQ381"/>
    <mergeCell ref="AB382:AQ382"/>
    <mergeCell ref="AB383:AQ383"/>
    <mergeCell ref="AB384:AQ384"/>
    <mergeCell ref="AB385:AQ385"/>
    <mergeCell ref="AC374:AF374"/>
    <mergeCell ref="AL374:AQ374"/>
    <mergeCell ref="AC375:AF375"/>
    <mergeCell ref="AL375:AQ375"/>
    <mergeCell ref="AB377:AQ377"/>
    <mergeCell ref="AB378:AQ378"/>
    <mergeCell ref="AC371:AF371"/>
    <mergeCell ref="AL371:AQ371"/>
    <mergeCell ref="AC372:AF372"/>
    <mergeCell ref="AL372:AQ372"/>
    <mergeCell ref="AC373:AF373"/>
    <mergeCell ref="AL373:AQ373"/>
    <mergeCell ref="AC367:AG368"/>
    <mergeCell ref="AJ367:AK367"/>
    <mergeCell ref="AL367:AQ368"/>
    <mergeCell ref="AC369:AF369"/>
    <mergeCell ref="AL369:AQ369"/>
    <mergeCell ref="AC370:AF370"/>
    <mergeCell ref="AL370:AQ370"/>
    <mergeCell ref="AB361:AQ361"/>
    <mergeCell ref="AB362:AQ362"/>
    <mergeCell ref="AB363:AQ363"/>
    <mergeCell ref="AB364:AQ364"/>
    <mergeCell ref="AB365:AQ365"/>
    <mergeCell ref="AB366:AQ366"/>
    <mergeCell ref="AC353:AF353"/>
    <mergeCell ref="AL353:AQ353"/>
    <mergeCell ref="AB355:AQ355"/>
    <mergeCell ref="AB356:AQ356"/>
    <mergeCell ref="AB357:AQ357"/>
    <mergeCell ref="AA359:AA360"/>
    <mergeCell ref="AB359:AQ359"/>
    <mergeCell ref="AB360:AQ360"/>
    <mergeCell ref="AC350:AF350"/>
    <mergeCell ref="AL350:AQ350"/>
    <mergeCell ref="AC351:AF351"/>
    <mergeCell ref="AL351:AQ351"/>
    <mergeCell ref="AC352:AF352"/>
    <mergeCell ref="AL352:AQ352"/>
    <mergeCell ref="AC347:AF347"/>
    <mergeCell ref="AL347:AQ347"/>
    <mergeCell ref="AC348:AF348"/>
    <mergeCell ref="AL348:AQ348"/>
    <mergeCell ref="AC349:AF349"/>
    <mergeCell ref="AL349:AQ349"/>
    <mergeCell ref="AC344:AF344"/>
    <mergeCell ref="AL344:AQ344"/>
    <mergeCell ref="AC345:AF345"/>
    <mergeCell ref="AL345:AQ345"/>
    <mergeCell ref="AC346:AF346"/>
    <mergeCell ref="AL346:AQ346"/>
    <mergeCell ref="AB337:AQ337"/>
    <mergeCell ref="AB338:AQ338"/>
    <mergeCell ref="AB339:AQ339"/>
    <mergeCell ref="AB340:AQ340"/>
    <mergeCell ref="AB341:AQ341"/>
    <mergeCell ref="AC342:AG343"/>
    <mergeCell ref="AJ342:AK342"/>
    <mergeCell ref="AL342:AQ343"/>
    <mergeCell ref="AB330:AF330"/>
    <mergeCell ref="AB331:AF331"/>
    <mergeCell ref="AH331:AQ331"/>
    <mergeCell ref="AB332:AQ332"/>
    <mergeCell ref="AB333:AQ333"/>
    <mergeCell ref="AA335:AA336"/>
    <mergeCell ref="AB335:AQ335"/>
    <mergeCell ref="AB336:AQ336"/>
    <mergeCell ref="AB324:AQ324"/>
    <mergeCell ref="AB325:AQ325"/>
    <mergeCell ref="AB326:AQ326"/>
    <mergeCell ref="AB327:AQ327"/>
    <mergeCell ref="AB328:AQ328"/>
    <mergeCell ref="AB329:AQ329"/>
    <mergeCell ref="AB318:AQ318"/>
    <mergeCell ref="AB319:AG319"/>
    <mergeCell ref="AB320:AQ320"/>
    <mergeCell ref="AB321:AG321"/>
    <mergeCell ref="AB322:AQ322"/>
    <mergeCell ref="AB323:AG323"/>
    <mergeCell ref="AB312:AQ312"/>
    <mergeCell ref="AB313:AQ313"/>
    <mergeCell ref="AB314:AQ314"/>
    <mergeCell ref="AB315:AQ315"/>
    <mergeCell ref="AB316:AQ316"/>
    <mergeCell ref="AB317:AQ317"/>
    <mergeCell ref="AB306:AQ306"/>
    <mergeCell ref="AB307:AQ307"/>
    <mergeCell ref="AB308:AQ308"/>
    <mergeCell ref="AB309:AQ309"/>
    <mergeCell ref="AB310:AQ310"/>
    <mergeCell ref="AB311:AQ311"/>
    <mergeCell ref="AB299:AQ299"/>
    <mergeCell ref="AB300:AQ300"/>
    <mergeCell ref="AB301:AQ301"/>
    <mergeCell ref="AB302:AQ302"/>
    <mergeCell ref="AA304:AA305"/>
    <mergeCell ref="AB304:AQ304"/>
    <mergeCell ref="AB305:AQ305"/>
    <mergeCell ref="AB293:AQ293"/>
    <mergeCell ref="AB294:AQ294"/>
    <mergeCell ref="AB295:AQ295"/>
    <mergeCell ref="AA297:AA298"/>
    <mergeCell ref="AB297:AQ297"/>
    <mergeCell ref="AB298:AQ298"/>
    <mergeCell ref="AC291:AE291"/>
    <mergeCell ref="AG291:AH291"/>
    <mergeCell ref="AI291:AJ291"/>
    <mergeCell ref="AK291:AL291"/>
    <mergeCell ref="AC292:AE292"/>
    <mergeCell ref="AG292:AH292"/>
    <mergeCell ref="AI292:AJ292"/>
    <mergeCell ref="AK292:AL292"/>
    <mergeCell ref="AB288:AQ288"/>
    <mergeCell ref="AB289:AE289"/>
    <mergeCell ref="AG289:AH289"/>
    <mergeCell ref="AI289:AJ289"/>
    <mergeCell ref="AK289:AL289"/>
    <mergeCell ref="AC290:AE290"/>
    <mergeCell ref="AG290:AH290"/>
    <mergeCell ref="AI290:AJ290"/>
    <mergeCell ref="AK290:AL290"/>
    <mergeCell ref="AB282:AQ282"/>
    <mergeCell ref="AB283:AQ283"/>
    <mergeCell ref="AB284:AQ284"/>
    <mergeCell ref="AB285:AQ285"/>
    <mergeCell ref="AB286:AQ286"/>
    <mergeCell ref="AB287:AQ287"/>
    <mergeCell ref="AA277:AA278"/>
    <mergeCell ref="AB277:AQ277"/>
    <mergeCell ref="AB278:AQ278"/>
    <mergeCell ref="AB279:AQ279"/>
    <mergeCell ref="AB280:AQ280"/>
    <mergeCell ref="AB281:AQ281"/>
    <mergeCell ref="AB267:AQ267"/>
    <mergeCell ref="AB269:AQ269"/>
    <mergeCell ref="AB271:AQ271"/>
    <mergeCell ref="AB273:AQ273"/>
    <mergeCell ref="AB275:AQ275"/>
    <mergeCell ref="AB276:AQ276"/>
    <mergeCell ref="AC259:AD259"/>
    <mergeCell ref="AC260:AD260"/>
    <mergeCell ref="AC261:AD261"/>
    <mergeCell ref="AC262:AD262"/>
    <mergeCell ref="AB264:AQ264"/>
    <mergeCell ref="AB265:AQ265"/>
    <mergeCell ref="AB253:AT253"/>
    <mergeCell ref="AB254:AT254"/>
    <mergeCell ref="AB255:AT255"/>
    <mergeCell ref="AB256:AQ256"/>
    <mergeCell ref="AB257:AD258"/>
    <mergeCell ref="AE257:AE258"/>
    <mergeCell ref="AC247:AD247"/>
    <mergeCell ref="AC248:AD248"/>
    <mergeCell ref="AC249:AD249"/>
    <mergeCell ref="AB250:AQ250"/>
    <mergeCell ref="AB251:AQ251"/>
    <mergeCell ref="AB252:AQ252"/>
    <mergeCell ref="AC241:AD241"/>
    <mergeCell ref="AC242:AF242"/>
    <mergeCell ref="AC243:AD243"/>
    <mergeCell ref="AC244:AD244"/>
    <mergeCell ref="AC245:AD245"/>
    <mergeCell ref="AC246:AD246"/>
    <mergeCell ref="AB236:AJ236"/>
    <mergeCell ref="AB237:AK237"/>
    <mergeCell ref="AB238:AI238"/>
    <mergeCell ref="AJ238:AR238"/>
    <mergeCell ref="AB239:AQ239"/>
    <mergeCell ref="AB240:AK240"/>
    <mergeCell ref="AB233:AI233"/>
    <mergeCell ref="AJ233:AK233"/>
    <mergeCell ref="AB234:AI234"/>
    <mergeCell ref="AJ234:AK234"/>
    <mergeCell ref="AB235:AI235"/>
    <mergeCell ref="AJ235:AK235"/>
    <mergeCell ref="AB230:AI230"/>
    <mergeCell ref="AJ230:AK230"/>
    <mergeCell ref="AB231:AI231"/>
    <mergeCell ref="AJ231:AK231"/>
    <mergeCell ref="AB232:AI232"/>
    <mergeCell ref="AJ232:AK232"/>
    <mergeCell ref="AC224:AO224"/>
    <mergeCell ref="AP224:AQ224"/>
    <mergeCell ref="AB226:AQ226"/>
    <mergeCell ref="AB227:AT227"/>
    <mergeCell ref="AB228:AT228"/>
    <mergeCell ref="AB229:AT229"/>
    <mergeCell ref="AC221:AO221"/>
    <mergeCell ref="AP221:AQ221"/>
    <mergeCell ref="AC222:AO222"/>
    <mergeCell ref="AP222:AQ222"/>
    <mergeCell ref="AC223:AO223"/>
    <mergeCell ref="AP223:AQ223"/>
    <mergeCell ref="AC218:AO218"/>
    <mergeCell ref="AP218:AQ218"/>
    <mergeCell ref="AC219:AO219"/>
    <mergeCell ref="AP219:AQ219"/>
    <mergeCell ref="AC220:AO220"/>
    <mergeCell ref="AP220:AQ220"/>
    <mergeCell ref="AC215:AO215"/>
    <mergeCell ref="AP215:AQ215"/>
    <mergeCell ref="AC216:AO216"/>
    <mergeCell ref="AP216:AQ216"/>
    <mergeCell ref="AC217:AO217"/>
    <mergeCell ref="AP217:AQ217"/>
    <mergeCell ref="AB207:AT207"/>
    <mergeCell ref="AB208:AT208"/>
    <mergeCell ref="AB209:AT209"/>
    <mergeCell ref="AB210:AT210"/>
    <mergeCell ref="AB211:AT211"/>
    <mergeCell ref="AB213:AQ213"/>
    <mergeCell ref="AB201:AT201"/>
    <mergeCell ref="AB202:AI202"/>
    <mergeCell ref="AB203:AI203"/>
    <mergeCell ref="AB204:AT204"/>
    <mergeCell ref="AB205:AI205"/>
    <mergeCell ref="AB206:AT206"/>
    <mergeCell ref="AB196:AT196"/>
    <mergeCell ref="AB197:AI197"/>
    <mergeCell ref="AM197:AN197"/>
    <mergeCell ref="AB198:AT198"/>
    <mergeCell ref="AB199:AT199"/>
    <mergeCell ref="AB200:AI200"/>
    <mergeCell ref="AL190:AM190"/>
    <mergeCell ref="AL191:AM191"/>
    <mergeCell ref="AB192:AT192"/>
    <mergeCell ref="AL193:AM193"/>
    <mergeCell ref="AL194:AM194"/>
    <mergeCell ref="AL195:AM195"/>
    <mergeCell ref="AC169:AG169"/>
    <mergeCell ref="AB171:AK171"/>
    <mergeCell ref="AB174:AT174"/>
    <mergeCell ref="AB181:AT181"/>
    <mergeCell ref="AL185:AM185"/>
    <mergeCell ref="AL189:AM189"/>
    <mergeCell ref="AC163:AG163"/>
    <mergeCell ref="AC164:AG164"/>
    <mergeCell ref="AC165:AG165"/>
    <mergeCell ref="AC166:AG166"/>
    <mergeCell ref="AC167:AG167"/>
    <mergeCell ref="AC168:AG168"/>
    <mergeCell ref="AC157:AG157"/>
    <mergeCell ref="AC158:AG158"/>
    <mergeCell ref="AC159:AG159"/>
    <mergeCell ref="AC160:AG160"/>
    <mergeCell ref="AC161:AG161"/>
    <mergeCell ref="AC162:AG162"/>
    <mergeCell ref="AC151:AG151"/>
    <mergeCell ref="AC152:AG152"/>
    <mergeCell ref="AC153:AG153"/>
    <mergeCell ref="AC154:AG154"/>
    <mergeCell ref="AC155:AG155"/>
    <mergeCell ref="AC156:AG156"/>
    <mergeCell ref="AC145:AG145"/>
    <mergeCell ref="AC146:AG146"/>
    <mergeCell ref="AC147:AG147"/>
    <mergeCell ref="AC148:AG148"/>
    <mergeCell ref="AC149:AG149"/>
    <mergeCell ref="AC150:AG150"/>
    <mergeCell ref="AC139:AG139"/>
    <mergeCell ref="AC140:AG140"/>
    <mergeCell ref="AC141:AG141"/>
    <mergeCell ref="AC142:AG142"/>
    <mergeCell ref="AC143:AG143"/>
    <mergeCell ref="AC144:AG144"/>
    <mergeCell ref="AC133:AG133"/>
    <mergeCell ref="AC134:AG134"/>
    <mergeCell ref="AC135:AG135"/>
    <mergeCell ref="AC136:AG136"/>
    <mergeCell ref="AC137:AG137"/>
    <mergeCell ref="AC138:AG138"/>
    <mergeCell ref="AG120:AQ120"/>
    <mergeCell ref="AG121:AQ121"/>
    <mergeCell ref="AG123:AQ123"/>
    <mergeCell ref="AG124:AQ124"/>
    <mergeCell ref="AB126:AT126"/>
    <mergeCell ref="AG128:AQ128"/>
    <mergeCell ref="AB132:AD132"/>
    <mergeCell ref="AB116:AF116"/>
    <mergeCell ref="AG116:AQ116"/>
    <mergeCell ref="AB117:AF117"/>
    <mergeCell ref="AG117:AQ117"/>
    <mergeCell ref="AG118:AQ118"/>
    <mergeCell ref="AG119:AQ119"/>
    <mergeCell ref="AB113:AF113"/>
    <mergeCell ref="AG113:AQ113"/>
    <mergeCell ref="AB114:AF114"/>
    <mergeCell ref="AG114:AQ114"/>
    <mergeCell ref="AB115:AF115"/>
    <mergeCell ref="AG115:AQ115"/>
    <mergeCell ref="AB105:AT105"/>
    <mergeCell ref="AB106:AT106"/>
    <mergeCell ref="AB107:AT107"/>
    <mergeCell ref="AB108:AT108"/>
    <mergeCell ref="AB110:AQ110"/>
    <mergeCell ref="AB112:AQ112"/>
    <mergeCell ref="AB99:AT99"/>
    <mergeCell ref="AB100:AT100"/>
    <mergeCell ref="AB101:AT101"/>
    <mergeCell ref="AB102:AT102"/>
    <mergeCell ref="AB103:AT103"/>
    <mergeCell ref="AB104:AS104"/>
    <mergeCell ref="AB92:AT92"/>
    <mergeCell ref="AB93:AT93"/>
    <mergeCell ref="AB94:AT94"/>
    <mergeCell ref="AB95:AT95"/>
    <mergeCell ref="AB97:AT97"/>
    <mergeCell ref="AB98:AT98"/>
    <mergeCell ref="AB85:AT85"/>
    <mergeCell ref="AB86:AT86"/>
    <mergeCell ref="AB87:AT87"/>
    <mergeCell ref="AB88:AT88"/>
    <mergeCell ref="AB90:AQ90"/>
    <mergeCell ref="AB91:AT91"/>
    <mergeCell ref="AB79:AT79"/>
    <mergeCell ref="AB80:AT80"/>
    <mergeCell ref="AB81:AT81"/>
    <mergeCell ref="AB82:AT82"/>
    <mergeCell ref="AC83:AD83"/>
    <mergeCell ref="AF83:AG83"/>
    <mergeCell ref="AB73:AT73"/>
    <mergeCell ref="AB74:AT74"/>
    <mergeCell ref="AB75:AT75"/>
    <mergeCell ref="AB76:AT76"/>
    <mergeCell ref="AB77:AT77"/>
    <mergeCell ref="AB78:AQ78"/>
    <mergeCell ref="AB65:AT65"/>
    <mergeCell ref="AB66:AT66"/>
    <mergeCell ref="AB68:AT68"/>
    <mergeCell ref="AB69:AQ69"/>
    <mergeCell ref="AB71:AT71"/>
    <mergeCell ref="AB72:AT72"/>
    <mergeCell ref="AB55:AT55"/>
    <mergeCell ref="AB56:AT56"/>
    <mergeCell ref="AB57:AT57"/>
    <mergeCell ref="AB59:AT59"/>
    <mergeCell ref="AB60:AT60"/>
    <mergeCell ref="AB63:AQ63"/>
    <mergeCell ref="AB50:AT50"/>
    <mergeCell ref="AB51:AT51"/>
    <mergeCell ref="AB52:AG52"/>
    <mergeCell ref="AH52:AO52"/>
    <mergeCell ref="AB53:AT53"/>
    <mergeCell ref="AC54:AD54"/>
    <mergeCell ref="AF54:AG54"/>
    <mergeCell ref="AB44:AT44"/>
    <mergeCell ref="AB45:AT45"/>
    <mergeCell ref="AB46:AT46"/>
    <mergeCell ref="AB47:AT47"/>
    <mergeCell ref="AB48:AT48"/>
    <mergeCell ref="AB49:AT49"/>
    <mergeCell ref="AB36:AQ36"/>
    <mergeCell ref="AB38:AT38"/>
    <mergeCell ref="AB40:AT40"/>
    <mergeCell ref="AB41:AT41"/>
    <mergeCell ref="AB42:AT42"/>
    <mergeCell ref="AB43:AT43"/>
    <mergeCell ref="AB33:AG33"/>
    <mergeCell ref="AH33:AI33"/>
    <mergeCell ref="AJ33:AK33"/>
    <mergeCell ref="AL33:AM33"/>
    <mergeCell ref="AN33:AO33"/>
    <mergeCell ref="AB34:AG34"/>
    <mergeCell ref="AH34:AO34"/>
    <mergeCell ref="AB31:AG31"/>
    <mergeCell ref="AH31:AI31"/>
    <mergeCell ref="AJ31:AK31"/>
    <mergeCell ref="AL31:AM31"/>
    <mergeCell ref="AN31:AO31"/>
    <mergeCell ref="AB32:AG32"/>
    <mergeCell ref="AH32:AI32"/>
    <mergeCell ref="AJ32:AK32"/>
    <mergeCell ref="AL32:AM32"/>
    <mergeCell ref="AN32:AO32"/>
    <mergeCell ref="AB26:AF26"/>
    <mergeCell ref="AG26:AQ26"/>
    <mergeCell ref="AR26:AT26"/>
    <mergeCell ref="AB28:AQ28"/>
    <mergeCell ref="AB30:AG30"/>
    <mergeCell ref="AH30:AI30"/>
    <mergeCell ref="AJ30:AK30"/>
    <mergeCell ref="AL30:AM30"/>
    <mergeCell ref="AN30:AO30"/>
    <mergeCell ref="AB25:AF25"/>
    <mergeCell ref="AG25:AQ25"/>
    <mergeCell ref="AB14:AT14"/>
    <mergeCell ref="AG16:AO16"/>
    <mergeCell ref="AB17:AT17"/>
    <mergeCell ref="AG18:AO18"/>
    <mergeCell ref="AB20:AQ20"/>
    <mergeCell ref="AB22:AF22"/>
    <mergeCell ref="AG22:AQ22"/>
    <mergeCell ref="AB8:AT8"/>
    <mergeCell ref="AB9:AT9"/>
    <mergeCell ref="AB10:AT10"/>
    <mergeCell ref="AB11:AT11"/>
    <mergeCell ref="AB12:AT12"/>
    <mergeCell ref="AB13:AT13"/>
    <mergeCell ref="AB23:AF23"/>
    <mergeCell ref="AG23:AQ23"/>
    <mergeCell ref="AB24:AF24"/>
    <mergeCell ref="AG24:AQ24"/>
  </mergeCells>
  <dataValidations count="2">
    <dataValidation type="list" allowBlank="1" showInputMessage="1" showErrorMessage="1" sqref="AG119:AQ121" xr:uid="{00000000-0002-0000-1F00-000000000000}">
      <formula1>YES_NO</formula1>
    </dataValidation>
    <dataValidation type="list" allowBlank="1" showInputMessage="1" showErrorMessage="1" sqref="AG124:AQ124" xr:uid="{00000000-0002-0000-1F00-000001000000}">
      <formula1>EZ_DPR</formula1>
    </dataValidation>
  </dataValidations>
  <hyperlinks>
    <hyperlink ref="AP224:AQ224" r:id="rId1" display="http://sgarantgkh@list.ru/" xr:uid="{00000000-0004-0000-1F00-000000000000}"/>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99"/>
  </sheetPr>
  <dimension ref="A1:AU650"/>
  <sheetViews>
    <sheetView showGridLines="0" topLeftCell="AA20" workbookViewId="0">
      <selection activeCell="AA20" sqref="AA20"/>
    </sheetView>
  </sheetViews>
  <sheetFormatPr defaultColWidth="9.140625" defaultRowHeight="11.45" customHeight="1" outlineLevelRow="1"/>
  <cols>
    <col min="1" max="1" width="9.140625" hidden="1"/>
    <col min="2" max="2" width="15.5703125" hidden="1" customWidth="1"/>
    <col min="3" max="26" width="13.7109375" hidden="1" customWidth="1"/>
    <col min="27" max="27" width="13.7109375" customWidth="1"/>
    <col min="28" max="29" width="12.42578125" customWidth="1"/>
    <col min="32" max="32" width="9.85546875" customWidth="1"/>
    <col min="33" max="33" width="12.7109375" customWidth="1"/>
    <col min="34" max="34" width="13.140625" customWidth="1"/>
    <col min="35" max="36" width="13.7109375" customWidth="1"/>
    <col min="37" max="37" width="12.7109375" customWidth="1"/>
    <col min="38" max="38" width="13.42578125" customWidth="1"/>
    <col min="39" max="39" width="10.85546875" customWidth="1"/>
    <col min="40" max="40" width="9.85546875" customWidth="1"/>
    <col min="41" max="41" width="11.140625" customWidth="1"/>
    <col min="43" max="43" width="10" customWidth="1"/>
    <col min="44" max="44" width="11.140625" customWidth="1"/>
    <col min="46" max="46" width="11.5703125" customWidth="1"/>
    <col min="47" max="47" width="9.140625" hidden="1"/>
  </cols>
  <sheetData>
    <row r="1" spans="4:47" ht="11.25" hidden="1" customHeight="1"/>
    <row r="2" spans="4:47" ht="14.25" hidden="1" customHeight="1"/>
    <row r="3" spans="4:47" ht="14.25" hidden="1" customHeight="1"/>
    <row r="4" spans="4:47" ht="14.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96</v>
      </c>
      <c r="AC4" s="1">
        <v>96</v>
      </c>
      <c r="AD4" s="1">
        <v>64</v>
      </c>
      <c r="AE4" s="1">
        <v>64</v>
      </c>
      <c r="AF4" s="1">
        <v>72</v>
      </c>
      <c r="AG4" s="1">
        <v>96</v>
      </c>
      <c r="AH4" s="1">
        <v>96</v>
      </c>
      <c r="AI4" s="1">
        <v>104</v>
      </c>
      <c r="AJ4" s="1">
        <v>104</v>
      </c>
      <c r="AK4" s="1">
        <v>96</v>
      </c>
      <c r="AL4" s="1">
        <v>104</v>
      </c>
      <c r="AM4" s="1">
        <v>80</v>
      </c>
      <c r="AN4" s="1">
        <v>72</v>
      </c>
      <c r="AO4" s="1">
        <v>80</v>
      </c>
      <c r="AP4" s="1">
        <v>64</v>
      </c>
      <c r="AQ4" s="1">
        <v>72</v>
      </c>
      <c r="AR4" s="1">
        <v>80</v>
      </c>
      <c r="AS4" s="1">
        <v>64</v>
      </c>
      <c r="AT4" s="1">
        <v>88</v>
      </c>
      <c r="AU4" s="2">
        <v>0</v>
      </c>
    </row>
    <row r="5" spans="4:47" ht="14.25" hidden="1" customHeight="1">
      <c r="D5" s="1">
        <v>40</v>
      </c>
    </row>
    <row r="6" spans="4:47" ht="14.25" hidden="1" customHeight="1">
      <c r="D6" s="1">
        <v>40</v>
      </c>
    </row>
    <row r="7" spans="4:47" ht="14.25" hidden="1" customHeight="1">
      <c r="D7" s="1">
        <v>40</v>
      </c>
    </row>
    <row r="8" spans="4:47" ht="14.25" hidden="1" customHeight="1">
      <c r="D8" s="1">
        <v>40</v>
      </c>
      <c r="AB8" s="781"/>
      <c r="AC8" s="781"/>
      <c r="AD8" s="781"/>
      <c r="AE8" s="781"/>
      <c r="AF8" s="781"/>
      <c r="AG8" s="781"/>
      <c r="AH8" s="781"/>
      <c r="AI8" s="781"/>
      <c r="AJ8" s="781"/>
      <c r="AK8" s="781"/>
      <c r="AL8" s="781"/>
      <c r="AM8" s="781"/>
      <c r="AN8" s="781"/>
      <c r="AO8" s="781"/>
      <c r="AP8" s="781"/>
      <c r="AQ8" s="781"/>
      <c r="AR8" s="781"/>
      <c r="AS8" s="781"/>
      <c r="AT8" s="781"/>
    </row>
    <row r="9" spans="4:47" ht="14.25" hidden="1" customHeight="1">
      <c r="D9" s="1">
        <v>40</v>
      </c>
      <c r="AB9" s="781"/>
      <c r="AC9" s="781"/>
      <c r="AD9" s="781"/>
      <c r="AE9" s="781"/>
      <c r="AF9" s="781"/>
      <c r="AG9" s="781"/>
      <c r="AH9" s="781"/>
      <c r="AI9" s="781"/>
      <c r="AJ9" s="781"/>
      <c r="AK9" s="781"/>
      <c r="AL9" s="781"/>
      <c r="AM9" s="781"/>
      <c r="AN9" s="781"/>
      <c r="AO9" s="781"/>
      <c r="AP9" s="781"/>
      <c r="AQ9" s="781"/>
      <c r="AR9" s="781"/>
      <c r="AS9" s="781"/>
      <c r="AT9" s="781"/>
    </row>
    <row r="10" spans="4:47" ht="14.25" hidden="1" customHeight="1">
      <c r="D10" s="1">
        <v>40</v>
      </c>
      <c r="AB10" s="781"/>
      <c r="AC10" s="781"/>
      <c r="AD10" s="781"/>
      <c r="AE10" s="781"/>
      <c r="AF10" s="781"/>
      <c r="AG10" s="781"/>
      <c r="AH10" s="781"/>
      <c r="AI10" s="781"/>
      <c r="AJ10" s="781"/>
      <c r="AK10" s="781"/>
      <c r="AL10" s="781"/>
      <c r="AM10" s="781"/>
      <c r="AN10" s="781"/>
      <c r="AO10" s="781"/>
      <c r="AP10" s="781"/>
      <c r="AQ10" s="781"/>
      <c r="AR10" s="781"/>
      <c r="AS10" s="781"/>
      <c r="AT10" s="781"/>
    </row>
    <row r="11" spans="4:47" ht="14.25" hidden="1" customHeight="1">
      <c r="D11" s="1">
        <v>40</v>
      </c>
      <c r="AB11" s="781"/>
      <c r="AC11" s="781"/>
      <c r="AD11" s="781"/>
      <c r="AE11" s="781"/>
      <c r="AF11" s="781"/>
      <c r="AG11" s="781"/>
      <c r="AH11" s="781"/>
      <c r="AI11" s="781"/>
      <c r="AJ11" s="781"/>
      <c r="AK11" s="781"/>
      <c r="AL11" s="781"/>
      <c r="AM11" s="781"/>
      <c r="AN11" s="781"/>
      <c r="AO11" s="781"/>
      <c r="AP11" s="781"/>
      <c r="AQ11" s="781"/>
      <c r="AR11" s="781"/>
      <c r="AS11" s="781"/>
      <c r="AT11" s="781"/>
    </row>
    <row r="12" spans="4:47" ht="14.25" hidden="1" customHeight="1">
      <c r="D12" s="1">
        <v>40</v>
      </c>
      <c r="AB12" s="781"/>
      <c r="AC12" s="781"/>
      <c r="AD12" s="781"/>
      <c r="AE12" s="781"/>
      <c r="AF12" s="781"/>
      <c r="AG12" s="781"/>
      <c r="AH12" s="781"/>
      <c r="AI12" s="781"/>
      <c r="AJ12" s="781"/>
      <c r="AK12" s="781"/>
      <c r="AL12" s="781"/>
      <c r="AM12" s="781"/>
      <c r="AN12" s="781"/>
      <c r="AO12" s="781"/>
      <c r="AP12" s="781"/>
      <c r="AQ12" s="781"/>
      <c r="AR12" s="781"/>
      <c r="AS12" s="781"/>
      <c r="AT12" s="781"/>
    </row>
    <row r="13" spans="4:47" ht="14.25" hidden="1" customHeight="1">
      <c r="D13" s="1">
        <v>40</v>
      </c>
      <c r="AB13" s="781"/>
      <c r="AC13" s="781"/>
      <c r="AD13" s="781"/>
      <c r="AE13" s="781"/>
      <c r="AF13" s="781"/>
      <c r="AG13" s="781"/>
      <c r="AH13" s="781"/>
      <c r="AI13" s="781"/>
      <c r="AJ13" s="781"/>
      <c r="AK13" s="781"/>
      <c r="AL13" s="781"/>
      <c r="AM13" s="781"/>
      <c r="AN13" s="781"/>
      <c r="AO13" s="781"/>
      <c r="AP13" s="781"/>
      <c r="AQ13" s="781"/>
      <c r="AR13" s="781"/>
      <c r="AS13" s="781"/>
      <c r="AT13" s="781"/>
    </row>
    <row r="14" spans="4:47" ht="14.25" hidden="1" customHeight="1">
      <c r="D14" s="1">
        <v>40</v>
      </c>
      <c r="AB14" s="781"/>
      <c r="AC14" s="781"/>
      <c r="AD14" s="781"/>
      <c r="AE14" s="781"/>
      <c r="AF14" s="781"/>
      <c r="AG14" s="781"/>
      <c r="AH14" s="781"/>
      <c r="AI14" s="781"/>
      <c r="AJ14" s="781"/>
      <c r="AK14" s="781"/>
      <c r="AL14" s="781"/>
      <c r="AM14" s="781"/>
      <c r="AN14" s="781"/>
      <c r="AO14" s="781"/>
      <c r="AP14" s="781"/>
      <c r="AQ14" s="781"/>
      <c r="AR14" s="781"/>
      <c r="AS14" s="781"/>
      <c r="AT14" s="781"/>
    </row>
    <row r="15" spans="4:47" ht="14.25" hidden="1" customHeight="1">
      <c r="D15" s="1">
        <v>40</v>
      </c>
    </row>
    <row r="16" spans="4:47" ht="14.25" hidden="1" customHeight="1">
      <c r="D16" s="1">
        <v>40</v>
      </c>
      <c r="AG16" s="1027" t="s">
        <v>1651</v>
      </c>
      <c r="AH16" s="1027"/>
      <c r="AI16" s="1027"/>
      <c r="AJ16" s="1027"/>
      <c r="AK16" s="1027"/>
      <c r="AL16" s="1027"/>
      <c r="AM16" s="1027"/>
      <c r="AN16" s="1027"/>
      <c r="AO16" s="1027"/>
    </row>
    <row r="17" spans="4:46" ht="45.75" hidden="1" customHeight="1">
      <c r="D17" s="1">
        <v>40</v>
      </c>
      <c r="AB17" s="1028" t="s">
        <v>1652</v>
      </c>
      <c r="AC17" s="781"/>
      <c r="AD17" s="781"/>
      <c r="AE17" s="781"/>
      <c r="AF17" s="781"/>
      <c r="AG17" s="781"/>
      <c r="AH17" s="781"/>
      <c r="AI17" s="781"/>
      <c r="AJ17" s="781"/>
      <c r="AK17" s="781"/>
      <c r="AL17" s="781"/>
      <c r="AM17" s="781"/>
      <c r="AN17" s="781"/>
      <c r="AO17" s="781"/>
      <c r="AP17" s="781"/>
      <c r="AQ17" s="781"/>
      <c r="AR17" s="781"/>
      <c r="AS17" s="781"/>
      <c r="AT17" s="781"/>
    </row>
    <row r="18" spans="4:46" ht="25.5" hidden="1" customHeight="1">
      <c r="D18" s="1">
        <v>40</v>
      </c>
      <c r="AG18" s="1029" t="s">
        <v>1653</v>
      </c>
      <c r="AH18" s="781"/>
      <c r="AI18" s="781"/>
      <c r="AJ18" s="781"/>
      <c r="AK18" s="1029" t="s">
        <v>1295</v>
      </c>
      <c r="AL18" s="781"/>
      <c r="AM18" s="781"/>
      <c r="AN18" s="781"/>
      <c r="AO18" s="781"/>
    </row>
    <row r="19" spans="4:46" ht="11.25" hidden="1" customHeight="1">
      <c r="D19" s="1">
        <v>40</v>
      </c>
    </row>
    <row r="20" spans="4:46" ht="11.25" customHeight="1">
      <c r="D20" s="1">
        <v>24</v>
      </c>
      <c r="AB20" s="1030" t="s">
        <v>1296</v>
      </c>
      <c r="AC20" s="781"/>
      <c r="AD20" s="781"/>
      <c r="AE20" s="781"/>
      <c r="AF20" s="781"/>
      <c r="AG20" s="781"/>
      <c r="AH20" s="781"/>
      <c r="AI20" s="781"/>
      <c r="AJ20" s="781"/>
      <c r="AK20" s="781"/>
      <c r="AL20" s="781"/>
      <c r="AM20" s="781"/>
      <c r="AN20" s="781"/>
      <c r="AO20" s="781"/>
      <c r="AP20" s="781"/>
      <c r="AQ20" s="781"/>
    </row>
    <row r="21" spans="4:46" ht="11.25" customHeight="1">
      <c r="D21" s="1">
        <v>18</v>
      </c>
    </row>
    <row r="22" spans="4:46" ht="11.25" customHeight="1">
      <c r="D22" s="1">
        <v>18</v>
      </c>
      <c r="AB22" s="829" t="s">
        <v>1297</v>
      </c>
      <c r="AC22" s="781"/>
      <c r="AD22" s="781"/>
      <c r="AE22" s="781"/>
      <c r="AF22" s="781"/>
      <c r="AG22" s="1026">
        <v>0</v>
      </c>
      <c r="AH22" s="781"/>
      <c r="AI22" s="781"/>
      <c r="AJ22" s="781"/>
      <c r="AK22" s="781"/>
      <c r="AL22" s="781"/>
      <c r="AM22" s="781"/>
      <c r="AN22" s="781"/>
      <c r="AO22" s="781"/>
      <c r="AP22" s="781"/>
      <c r="AQ22" s="781"/>
    </row>
    <row r="23" spans="4:46" ht="11.25" customHeight="1">
      <c r="D23" s="1">
        <v>18</v>
      </c>
      <c r="AB23" s="829" t="s">
        <v>1298</v>
      </c>
      <c r="AC23" s="781"/>
      <c r="AD23" s="781"/>
      <c r="AE23" s="781"/>
      <c r="AF23" s="781"/>
      <c r="AG23" s="1025" t="s">
        <v>1654</v>
      </c>
      <c r="AH23" s="781"/>
      <c r="AI23" s="781"/>
      <c r="AJ23" s="781"/>
      <c r="AK23" s="781"/>
      <c r="AL23" s="781"/>
      <c r="AM23" s="781"/>
      <c r="AN23" s="781"/>
      <c r="AO23" s="781"/>
      <c r="AP23" s="781"/>
      <c r="AQ23" s="781"/>
    </row>
    <row r="24" spans="4:46" ht="11.25" customHeight="1">
      <c r="D24" s="1">
        <v>18</v>
      </c>
      <c r="AB24" s="829" t="s">
        <v>1299</v>
      </c>
      <c r="AC24" s="781"/>
      <c r="AD24" s="781"/>
      <c r="AE24" s="781"/>
      <c r="AF24" s="781"/>
      <c r="AG24" s="1026">
        <v>0</v>
      </c>
      <c r="AH24" s="781"/>
      <c r="AI24" s="781"/>
      <c r="AJ24" s="781"/>
      <c r="AK24" s="781"/>
      <c r="AL24" s="781"/>
      <c r="AM24" s="781"/>
      <c r="AN24" s="781"/>
      <c r="AO24" s="781"/>
      <c r="AP24" s="781"/>
      <c r="AQ24" s="781"/>
    </row>
    <row r="25" spans="4:46" ht="11.25" customHeight="1">
      <c r="D25" s="1">
        <v>18</v>
      </c>
      <c r="AB25" s="829" t="s">
        <v>1300</v>
      </c>
      <c r="AC25" s="781"/>
      <c r="AD25" s="781"/>
      <c r="AE25" s="781"/>
      <c r="AF25" s="781"/>
      <c r="AG25" s="1026">
        <v>0</v>
      </c>
      <c r="AH25" s="781"/>
      <c r="AI25" s="781"/>
      <c r="AJ25" s="781"/>
      <c r="AK25" s="781"/>
      <c r="AL25" s="781"/>
      <c r="AM25" s="781"/>
      <c r="AN25" s="781"/>
      <c r="AO25" s="781"/>
      <c r="AP25" s="781"/>
      <c r="AQ25" s="781"/>
    </row>
    <row r="26" spans="4:46" ht="11.25" customHeight="1">
      <c r="D26" s="1">
        <v>18</v>
      </c>
      <c r="AB26" s="829" t="s">
        <v>1301</v>
      </c>
      <c r="AC26" s="781"/>
      <c r="AD26" s="781"/>
      <c r="AE26" s="781"/>
      <c r="AF26" s="781"/>
      <c r="AG26" s="1026">
        <v>0</v>
      </c>
      <c r="AH26" s="781"/>
      <c r="AI26" s="781"/>
      <c r="AJ26" s="781"/>
      <c r="AK26" s="781"/>
      <c r="AL26" s="781"/>
      <c r="AM26" s="781"/>
      <c r="AN26" s="781"/>
      <c r="AO26" s="781"/>
      <c r="AP26" s="781"/>
      <c r="AQ26" s="781"/>
      <c r="AR26" s="781"/>
      <c r="AS26" s="781"/>
      <c r="AT26" s="781"/>
    </row>
    <row r="27" spans="4:46" ht="11.25" customHeight="1">
      <c r="D27" s="1">
        <v>18</v>
      </c>
    </row>
    <row r="28" spans="4:46" ht="11.25" customHeight="1">
      <c r="D28" s="1">
        <v>18</v>
      </c>
      <c r="AB28" s="1030" t="s">
        <v>1302</v>
      </c>
      <c r="AC28" s="781"/>
      <c r="AD28" s="781"/>
      <c r="AE28" s="781"/>
      <c r="AF28" s="781"/>
      <c r="AG28" s="781"/>
      <c r="AH28" s="781"/>
      <c r="AI28" s="781"/>
      <c r="AJ28" s="781"/>
      <c r="AK28" s="781"/>
      <c r="AL28" s="781"/>
      <c r="AM28" s="781"/>
      <c r="AN28" s="781"/>
      <c r="AO28" s="781"/>
      <c r="AP28" s="781"/>
      <c r="AQ28" s="781"/>
    </row>
    <row r="29" spans="4:46" ht="11.25" customHeight="1">
      <c r="D29" s="1">
        <v>18</v>
      </c>
    </row>
    <row r="30" spans="4:46" ht="11.25" customHeight="1">
      <c r="D30" s="1">
        <v>18</v>
      </c>
      <c r="AB30" s="829" t="s">
        <v>1303</v>
      </c>
      <c r="AC30" s="781"/>
      <c r="AD30" s="781"/>
      <c r="AE30" s="781"/>
      <c r="AF30" s="781"/>
      <c r="AG30" s="781"/>
      <c r="AH30" s="1031" t="s">
        <v>1304</v>
      </c>
      <c r="AI30" s="781"/>
      <c r="AJ30" s="1032"/>
      <c r="AK30" s="1032"/>
      <c r="AL30" s="1031" t="s">
        <v>1305</v>
      </c>
      <c r="AM30" s="781"/>
      <c r="AN30" s="1033"/>
      <c r="AO30" s="1033"/>
    </row>
    <row r="31" spans="4:46" ht="23.25" customHeight="1">
      <c r="D31" s="1">
        <v>37</v>
      </c>
      <c r="AB31" s="829" t="s">
        <v>1623</v>
      </c>
      <c r="AC31" s="781"/>
      <c r="AD31" s="781"/>
      <c r="AE31" s="781"/>
      <c r="AF31" s="781"/>
      <c r="AG31" s="781"/>
      <c r="AH31" s="1031" t="s">
        <v>1304</v>
      </c>
      <c r="AI31" s="781"/>
      <c r="AJ31" s="1032"/>
      <c r="AK31" s="1032"/>
      <c r="AL31" s="1031" t="s">
        <v>1305</v>
      </c>
      <c r="AM31" s="781"/>
      <c r="AN31" s="1033"/>
      <c r="AO31" s="1033"/>
    </row>
    <row r="32" spans="4:46" ht="11.25" customHeight="1">
      <c r="D32" s="1">
        <v>18</v>
      </c>
      <c r="AB32" s="829" t="s">
        <v>1306</v>
      </c>
      <c r="AC32" s="781"/>
      <c r="AD32" s="781"/>
      <c r="AE32" s="781"/>
      <c r="AF32" s="781"/>
      <c r="AG32" s="781"/>
      <c r="AH32" s="1031" t="s">
        <v>1304</v>
      </c>
      <c r="AI32" s="781"/>
      <c r="AJ32" s="1032"/>
      <c r="AK32" s="1032"/>
      <c r="AL32" s="781"/>
      <c r="AM32" s="781"/>
      <c r="AN32" s="781"/>
      <c r="AO32" s="781"/>
    </row>
    <row r="33" spans="4:46" ht="11.25" customHeight="1">
      <c r="D33" s="1">
        <v>18</v>
      </c>
      <c r="AB33" s="829" t="s">
        <v>1307</v>
      </c>
      <c r="AC33" s="781"/>
      <c r="AD33" s="781"/>
      <c r="AE33" s="781"/>
      <c r="AF33" s="781"/>
      <c r="AG33" s="781"/>
      <c r="AH33" s="1031" t="s">
        <v>1304</v>
      </c>
      <c r="AI33" s="781"/>
      <c r="AJ33" s="1032"/>
      <c r="AK33" s="1032"/>
      <c r="AL33" s="1031" t="s">
        <v>1305</v>
      </c>
      <c r="AM33" s="781"/>
      <c r="AN33" s="1033"/>
      <c r="AO33" s="1033"/>
    </row>
    <row r="34" spans="4:46" ht="11.25" customHeight="1">
      <c r="D34" s="1">
        <v>18</v>
      </c>
      <c r="AB34" s="829" t="s">
        <v>1308</v>
      </c>
      <c r="AC34" s="781"/>
      <c r="AD34" s="781"/>
      <c r="AE34" s="781"/>
      <c r="AF34" s="781"/>
      <c r="AG34" s="781"/>
      <c r="AH34" s="1031" t="s">
        <v>1309</v>
      </c>
      <c r="AI34" s="781"/>
      <c r="AJ34" s="1035"/>
      <c r="AK34" s="1035"/>
      <c r="AL34" s="1031" t="s">
        <v>1310</v>
      </c>
      <c r="AM34" s="781"/>
      <c r="AN34" s="1032"/>
      <c r="AO34" s="1032"/>
    </row>
    <row r="35" spans="4:46" ht="11.25" customHeight="1">
      <c r="D35" s="1">
        <v>18</v>
      </c>
      <c r="AB35" s="829" t="s">
        <v>1311</v>
      </c>
      <c r="AC35" s="781"/>
      <c r="AD35" s="781"/>
      <c r="AE35" s="781"/>
      <c r="AF35" s="781"/>
      <c r="AG35" s="781"/>
      <c r="AH35" s="1033"/>
      <c r="AI35" s="1033"/>
      <c r="AJ35" s="1033"/>
      <c r="AK35" s="1033"/>
      <c r="AL35" s="1033"/>
      <c r="AM35" s="1033"/>
      <c r="AN35" s="1033"/>
      <c r="AO35" s="1033"/>
    </row>
    <row r="36" spans="4:46" ht="11.25" customHeight="1">
      <c r="D36" s="1">
        <v>18</v>
      </c>
      <c r="AB36" s="829" t="s">
        <v>1624</v>
      </c>
      <c r="AC36" s="781"/>
      <c r="AD36" s="781"/>
      <c r="AE36" s="781"/>
      <c r="AF36" s="781"/>
      <c r="AG36" s="781"/>
      <c r="AH36" s="1033"/>
      <c r="AI36" s="1033"/>
      <c r="AJ36" s="1033"/>
      <c r="AK36" s="1033"/>
      <c r="AL36" s="1033"/>
      <c r="AM36" s="1033"/>
      <c r="AN36" s="1033"/>
      <c r="AO36" s="1033"/>
    </row>
    <row r="37" spans="4:46" ht="11.25" customHeight="1">
      <c r="D37" s="1">
        <v>18</v>
      </c>
    </row>
    <row r="38" spans="4:46" ht="11.25" customHeight="1">
      <c r="D38" s="1">
        <v>18</v>
      </c>
      <c r="AB38" s="1030" t="s">
        <v>1312</v>
      </c>
      <c r="AC38" s="781"/>
      <c r="AD38" s="781"/>
      <c r="AE38" s="781"/>
      <c r="AF38" s="781"/>
      <c r="AG38" s="781"/>
      <c r="AH38" s="781"/>
      <c r="AI38" s="781"/>
      <c r="AJ38" s="781"/>
      <c r="AK38" s="781"/>
      <c r="AL38" s="781"/>
      <c r="AM38" s="781"/>
      <c r="AN38" s="781"/>
      <c r="AO38" s="781"/>
      <c r="AP38" s="781"/>
      <c r="AQ38" s="781"/>
    </row>
    <row r="39" spans="4:46" ht="11.25" customHeight="1">
      <c r="D39" s="1">
        <v>18</v>
      </c>
    </row>
    <row r="40" spans="4:46" ht="26.25" customHeight="1">
      <c r="D40" s="1">
        <v>42</v>
      </c>
      <c r="AB40" s="1034" t="s">
        <v>1655</v>
      </c>
      <c r="AC40" s="781"/>
      <c r="AD40" s="781"/>
      <c r="AE40" s="781"/>
      <c r="AF40" s="781"/>
      <c r="AG40" s="781"/>
      <c r="AH40" s="781"/>
      <c r="AI40" s="781"/>
      <c r="AJ40" s="781"/>
      <c r="AK40" s="781"/>
      <c r="AL40" s="781"/>
      <c r="AM40" s="781"/>
      <c r="AN40" s="781"/>
      <c r="AO40" s="781"/>
      <c r="AP40" s="781"/>
      <c r="AQ40" s="781"/>
      <c r="AR40" s="781"/>
      <c r="AS40" s="781"/>
      <c r="AT40" s="781"/>
    </row>
    <row r="41" spans="4:46" ht="11.25" customHeight="1">
      <c r="D41" s="1">
        <v>18</v>
      </c>
    </row>
    <row r="42" spans="4:46" ht="11.25" customHeight="1">
      <c r="D42" s="1">
        <v>18</v>
      </c>
      <c r="AB42" s="1034" t="s">
        <v>1314</v>
      </c>
      <c r="AC42" s="781"/>
      <c r="AD42" s="781"/>
      <c r="AE42" s="781"/>
      <c r="AF42" s="781"/>
      <c r="AG42" s="781"/>
      <c r="AH42" s="781"/>
      <c r="AI42" s="781"/>
      <c r="AJ42" s="781"/>
      <c r="AK42" s="781"/>
      <c r="AL42" s="781"/>
      <c r="AM42" s="781"/>
      <c r="AN42" s="781"/>
      <c r="AO42" s="781"/>
      <c r="AP42" s="781"/>
      <c r="AQ42" s="781"/>
      <c r="AR42" s="781"/>
      <c r="AS42" s="781"/>
      <c r="AT42" s="781"/>
    </row>
    <row r="43" spans="4:46" ht="11.25" customHeight="1">
      <c r="D43" s="1">
        <v>18</v>
      </c>
      <c r="AB43" s="1034" t="s">
        <v>1315</v>
      </c>
      <c r="AC43" s="781"/>
      <c r="AD43" s="781"/>
      <c r="AE43" s="781"/>
      <c r="AF43" s="781"/>
      <c r="AG43" s="781"/>
      <c r="AH43" s="781"/>
      <c r="AI43" s="781"/>
      <c r="AJ43" s="781"/>
      <c r="AK43" s="781"/>
      <c r="AL43" s="781"/>
      <c r="AM43" s="781"/>
      <c r="AN43" s="781"/>
      <c r="AO43" s="781"/>
      <c r="AP43" s="781"/>
      <c r="AQ43" s="781"/>
      <c r="AR43" s="781"/>
      <c r="AS43" s="781"/>
      <c r="AT43" s="781"/>
    </row>
    <row r="44" spans="4:46" ht="11.25" customHeight="1">
      <c r="D44" s="1">
        <v>18</v>
      </c>
      <c r="AB44" s="1034" t="s">
        <v>1316</v>
      </c>
      <c r="AC44" s="781"/>
      <c r="AD44" s="781"/>
      <c r="AE44" s="781"/>
      <c r="AF44" s="781"/>
      <c r="AG44" s="781"/>
      <c r="AH44" s="781"/>
      <c r="AI44" s="781"/>
      <c r="AJ44" s="781"/>
      <c r="AK44" s="781"/>
      <c r="AL44" s="781"/>
      <c r="AM44" s="781"/>
      <c r="AN44" s="781"/>
      <c r="AO44" s="781"/>
      <c r="AP44" s="781"/>
      <c r="AQ44" s="781"/>
      <c r="AR44" s="781"/>
      <c r="AS44" s="781"/>
      <c r="AT44" s="781"/>
    </row>
    <row r="45" spans="4:46" ht="11.25" customHeight="1">
      <c r="D45" s="1">
        <v>18</v>
      </c>
      <c r="AB45" s="832" t="s">
        <v>1317</v>
      </c>
      <c r="AC45" s="781"/>
      <c r="AD45" s="781"/>
      <c r="AE45" s="781"/>
      <c r="AF45" s="781"/>
      <c r="AG45" s="781"/>
      <c r="AH45" s="781"/>
      <c r="AI45" s="781"/>
      <c r="AJ45" s="781"/>
      <c r="AK45" s="781"/>
      <c r="AL45" s="781"/>
      <c r="AM45" s="781"/>
      <c r="AN45" s="781"/>
      <c r="AO45" s="781"/>
      <c r="AP45" s="781"/>
      <c r="AQ45" s="781"/>
      <c r="AR45" s="781"/>
      <c r="AS45" s="781"/>
      <c r="AT45" s="781"/>
    </row>
    <row r="46" spans="4:46" ht="11.25" customHeight="1">
      <c r="D46" s="1">
        <v>18</v>
      </c>
      <c r="AB46" s="832" t="s">
        <v>1318</v>
      </c>
      <c r="AC46" s="781"/>
      <c r="AD46" s="781"/>
      <c r="AE46" s="781"/>
      <c r="AF46" s="781"/>
      <c r="AG46" s="781"/>
      <c r="AH46" s="781"/>
      <c r="AI46" s="781"/>
      <c r="AJ46" s="781"/>
      <c r="AK46" s="781"/>
      <c r="AL46" s="781"/>
      <c r="AM46" s="781"/>
      <c r="AN46" s="781"/>
      <c r="AO46" s="781"/>
      <c r="AP46" s="781"/>
      <c r="AQ46" s="781"/>
      <c r="AR46" s="781"/>
      <c r="AS46" s="781"/>
      <c r="AT46" s="781"/>
    </row>
    <row r="47" spans="4:46" ht="11.25" customHeight="1">
      <c r="D47" s="1">
        <v>18</v>
      </c>
      <c r="AB47" s="1034" t="s">
        <v>1319</v>
      </c>
      <c r="AC47" s="781"/>
      <c r="AD47" s="781"/>
      <c r="AE47" s="781"/>
      <c r="AF47" s="781"/>
      <c r="AG47" s="781"/>
      <c r="AH47" s="781"/>
      <c r="AI47" s="781"/>
      <c r="AJ47" s="781"/>
      <c r="AK47" s="781"/>
      <c r="AL47" s="781"/>
      <c r="AM47" s="781"/>
      <c r="AN47" s="781"/>
      <c r="AO47" s="781"/>
      <c r="AP47" s="781"/>
      <c r="AQ47" s="781"/>
      <c r="AR47" s="781"/>
      <c r="AS47" s="781"/>
      <c r="AT47" s="781"/>
    </row>
    <row r="48" spans="4:46" ht="11.25" customHeight="1">
      <c r="D48" s="1">
        <v>18</v>
      </c>
      <c r="AB48" s="1034" t="s">
        <v>1320</v>
      </c>
      <c r="AC48" s="781"/>
      <c r="AD48" s="781"/>
      <c r="AE48" s="781"/>
      <c r="AF48" s="781"/>
      <c r="AG48" s="781"/>
      <c r="AH48" s="781"/>
      <c r="AI48" s="781"/>
      <c r="AJ48" s="781"/>
      <c r="AK48" s="781"/>
      <c r="AL48" s="781"/>
      <c r="AM48" s="781"/>
      <c r="AN48" s="781"/>
      <c r="AO48" s="781"/>
      <c r="AP48" s="781"/>
      <c r="AQ48" s="781"/>
      <c r="AR48" s="781"/>
      <c r="AS48" s="781"/>
      <c r="AT48" s="781"/>
    </row>
    <row r="49" spans="4:46" ht="11.25" customHeight="1">
      <c r="D49" s="1">
        <v>18</v>
      </c>
      <c r="AB49" s="1034" t="s">
        <v>1321</v>
      </c>
      <c r="AC49" s="781"/>
      <c r="AD49" s="781"/>
      <c r="AE49" s="781"/>
      <c r="AF49" s="781"/>
      <c r="AG49" s="781"/>
      <c r="AH49" s="781"/>
      <c r="AI49" s="781"/>
      <c r="AJ49" s="781"/>
      <c r="AK49" s="781"/>
      <c r="AL49" s="781"/>
      <c r="AM49" s="781"/>
      <c r="AN49" s="781"/>
      <c r="AO49" s="781"/>
      <c r="AP49" s="781"/>
      <c r="AQ49" s="781"/>
      <c r="AR49" s="781"/>
      <c r="AS49" s="781"/>
      <c r="AT49" s="781"/>
    </row>
    <row r="50" spans="4:46" ht="11.25" customHeight="1">
      <c r="D50" s="1">
        <v>18</v>
      </c>
      <c r="AB50" s="832" t="s">
        <v>1322</v>
      </c>
      <c r="AC50" s="781"/>
      <c r="AD50" s="781"/>
      <c r="AE50" s="781"/>
      <c r="AF50" s="781"/>
      <c r="AG50" s="781"/>
      <c r="AH50" s="781"/>
      <c r="AI50" s="781"/>
      <c r="AJ50" s="781"/>
      <c r="AK50" s="781"/>
      <c r="AL50" s="781"/>
      <c r="AM50" s="781"/>
      <c r="AN50" s="781"/>
      <c r="AO50" s="781"/>
      <c r="AP50" s="781"/>
      <c r="AQ50" s="781"/>
      <c r="AR50" s="781"/>
      <c r="AS50" s="781"/>
      <c r="AT50" s="781"/>
    </row>
    <row r="51" spans="4:46" ht="11.25" customHeight="1">
      <c r="D51" s="1">
        <v>18</v>
      </c>
      <c r="AB51" s="1034" t="s">
        <v>1323</v>
      </c>
      <c r="AC51" s="781"/>
      <c r="AD51" s="781"/>
      <c r="AE51" s="781"/>
      <c r="AF51" s="781"/>
      <c r="AG51" s="781"/>
      <c r="AH51" s="781"/>
      <c r="AI51" s="781"/>
      <c r="AJ51" s="781"/>
      <c r="AK51" s="781"/>
      <c r="AL51" s="781"/>
      <c r="AM51" s="781"/>
      <c r="AN51" s="781"/>
      <c r="AO51" s="781"/>
      <c r="AP51" s="781"/>
      <c r="AQ51" s="781"/>
      <c r="AR51" s="781"/>
      <c r="AS51" s="781"/>
      <c r="AT51" s="781"/>
    </row>
    <row r="52" spans="4:46" ht="11.25" customHeight="1">
      <c r="D52" s="1">
        <v>18</v>
      </c>
      <c r="AB52" s="832" t="s">
        <v>1324</v>
      </c>
      <c r="AC52" s="781"/>
      <c r="AD52" s="781"/>
      <c r="AE52" s="781"/>
      <c r="AF52" s="781"/>
      <c r="AG52" s="781"/>
      <c r="AH52" s="781"/>
      <c r="AI52" s="781"/>
      <c r="AJ52" s="781"/>
      <c r="AK52" s="781"/>
      <c r="AL52" s="781"/>
      <c r="AM52" s="781"/>
      <c r="AN52" s="781"/>
      <c r="AO52" s="781"/>
      <c r="AP52" s="781"/>
      <c r="AQ52" s="781"/>
      <c r="AR52" s="781"/>
      <c r="AS52" s="781"/>
      <c r="AT52" s="781"/>
    </row>
    <row r="53" spans="4:46" ht="11.25" customHeight="1">
      <c r="D53" s="1">
        <v>18</v>
      </c>
      <c r="AB53" s="832" t="s">
        <v>1656</v>
      </c>
      <c r="AC53" s="781"/>
      <c r="AD53" s="781"/>
      <c r="AE53" s="781"/>
      <c r="AF53" s="781"/>
      <c r="AG53" s="781"/>
      <c r="AH53" s="781"/>
      <c r="AI53" s="781"/>
      <c r="AJ53" s="781"/>
      <c r="AK53" s="781"/>
      <c r="AL53" s="781"/>
      <c r="AM53" s="781"/>
      <c r="AN53" s="781"/>
      <c r="AO53" s="781"/>
      <c r="AP53" s="781"/>
      <c r="AQ53" s="781"/>
      <c r="AR53" s="781"/>
      <c r="AS53" s="781"/>
      <c r="AT53" s="781"/>
    </row>
    <row r="54" spans="4:46" ht="11.25" customHeight="1">
      <c r="D54" s="1">
        <v>18</v>
      </c>
      <c r="AB54" s="829" t="s">
        <v>1657</v>
      </c>
      <c r="AC54" s="781"/>
      <c r="AD54" s="781"/>
      <c r="AE54" s="781"/>
      <c r="AF54" s="781"/>
      <c r="AG54" s="1124"/>
      <c r="AH54" s="1124"/>
      <c r="AI54" s="1124"/>
      <c r="AJ54" s="1124"/>
      <c r="AK54" s="1124"/>
      <c r="AL54" s="1124"/>
      <c r="AM54" s="1124"/>
      <c r="AN54" s="1124"/>
      <c r="AO54" s="1124"/>
      <c r="AP54" s="1124"/>
      <c r="AQ54" s="1124"/>
    </row>
    <row r="55" spans="4:46" ht="27.75" customHeight="1">
      <c r="D55" s="1">
        <v>45</v>
      </c>
      <c r="AB55" s="832" t="s">
        <v>1658</v>
      </c>
      <c r="AC55" s="832" t="s">
        <v>1659</v>
      </c>
      <c r="AD55" s="781"/>
      <c r="AE55" s="781"/>
      <c r="AF55" s="781"/>
      <c r="AG55" s="781"/>
      <c r="AH55" s="781"/>
      <c r="AI55" s="781"/>
      <c r="AJ55" s="781"/>
      <c r="AK55" s="781"/>
      <c r="AL55" s="781"/>
      <c r="AM55" s="781"/>
      <c r="AN55" s="781"/>
      <c r="AO55" s="781"/>
      <c r="AP55" s="781"/>
      <c r="AQ55" s="781"/>
      <c r="AR55" s="781"/>
      <c r="AS55" s="781"/>
      <c r="AT55" s="781"/>
    </row>
    <row r="56" spans="4:46" ht="11.25" customHeight="1">
      <c r="D56" s="1">
        <v>18</v>
      </c>
      <c r="AB56" s="29" t="s">
        <v>1326</v>
      </c>
      <c r="AC56" s="1036"/>
      <c r="AD56" s="1037"/>
      <c r="AE56" s="29" t="s">
        <v>1327</v>
      </c>
      <c r="AF56" s="1036"/>
      <c r="AG56" s="1037"/>
    </row>
    <row r="57" spans="4:46" ht="11.25" customHeight="1">
      <c r="D57" s="1">
        <v>18</v>
      </c>
      <c r="AB57" s="832" t="s">
        <v>1328</v>
      </c>
      <c r="AC57" s="781"/>
      <c r="AD57" s="781"/>
      <c r="AE57" s="781"/>
      <c r="AF57" s="781"/>
      <c r="AG57" s="781"/>
      <c r="AH57" s="781"/>
      <c r="AI57" s="781"/>
      <c r="AJ57" s="781"/>
      <c r="AK57" s="781"/>
      <c r="AL57" s="781"/>
      <c r="AM57" s="781"/>
      <c r="AN57" s="781"/>
      <c r="AO57" s="781"/>
      <c r="AP57" s="781"/>
      <c r="AQ57" s="781"/>
      <c r="AR57" s="781"/>
      <c r="AS57" s="781"/>
      <c r="AT57" s="781"/>
    </row>
    <row r="58" spans="4:46" ht="11.25" customHeight="1">
      <c r="D58" s="1">
        <v>18</v>
      </c>
      <c r="AB58" s="832" t="s">
        <v>1329</v>
      </c>
      <c r="AC58" s="781"/>
      <c r="AD58" s="781"/>
      <c r="AE58" s="781"/>
      <c r="AF58" s="781"/>
      <c r="AG58" s="781"/>
      <c r="AH58" s="781"/>
      <c r="AI58" s="781"/>
      <c r="AJ58" s="781"/>
      <c r="AK58" s="781"/>
      <c r="AL58" s="781"/>
      <c r="AM58" s="781"/>
      <c r="AN58" s="781"/>
      <c r="AO58" s="781"/>
      <c r="AP58" s="781"/>
      <c r="AQ58" s="781"/>
      <c r="AR58" s="781"/>
      <c r="AS58" s="781"/>
      <c r="AT58" s="781"/>
    </row>
    <row r="59" spans="4:46" ht="11.25" customHeight="1">
      <c r="D59" s="1">
        <v>18</v>
      </c>
      <c r="AB59" s="832" t="s">
        <v>1330</v>
      </c>
      <c r="AC59" s="781"/>
      <c r="AD59" s="781"/>
      <c r="AE59" s="781"/>
      <c r="AF59" s="781"/>
      <c r="AG59" s="781"/>
      <c r="AH59" s="781"/>
      <c r="AI59" s="781"/>
      <c r="AJ59" s="781"/>
      <c r="AK59" s="781"/>
      <c r="AL59" s="781"/>
      <c r="AM59" s="781"/>
      <c r="AN59" s="781"/>
      <c r="AO59" s="781"/>
      <c r="AP59" s="781"/>
      <c r="AQ59" s="781"/>
      <c r="AR59" s="781"/>
      <c r="AS59" s="781"/>
      <c r="AT59" s="781"/>
    </row>
    <row r="60" spans="4:46" ht="11.25" customHeight="1">
      <c r="D60" s="1">
        <v>18</v>
      </c>
    </row>
    <row r="61" spans="4:46" ht="11.25" customHeight="1">
      <c r="D61" s="1">
        <v>18</v>
      </c>
      <c r="AB61" s="832" t="s">
        <v>1331</v>
      </c>
      <c r="AC61" s="781"/>
      <c r="AD61" s="781"/>
      <c r="AE61" s="781"/>
      <c r="AF61" s="781"/>
      <c r="AG61" s="781"/>
      <c r="AH61" s="781"/>
      <c r="AI61" s="781"/>
      <c r="AJ61" s="781"/>
      <c r="AK61" s="781"/>
      <c r="AL61" s="781"/>
      <c r="AM61" s="781"/>
      <c r="AN61" s="781"/>
      <c r="AO61" s="781"/>
      <c r="AP61" s="781"/>
      <c r="AQ61" s="781"/>
      <c r="AR61" s="781"/>
      <c r="AS61" s="781"/>
      <c r="AT61" s="781"/>
    </row>
    <row r="62" spans="4:46" ht="11.25" customHeight="1">
      <c r="D62" s="1">
        <v>18</v>
      </c>
      <c r="AB62" s="832" t="s">
        <v>1660</v>
      </c>
      <c r="AC62" s="781"/>
      <c r="AD62" s="781"/>
      <c r="AE62" s="781"/>
      <c r="AF62" s="781"/>
      <c r="AG62" s="781"/>
      <c r="AH62" s="781"/>
      <c r="AI62" s="781"/>
      <c r="AJ62" s="781"/>
      <c r="AK62" s="781"/>
      <c r="AL62" s="781"/>
      <c r="AM62" s="781"/>
      <c r="AN62" s="781"/>
      <c r="AO62" s="781"/>
      <c r="AP62" s="781"/>
      <c r="AQ62" s="781"/>
      <c r="AR62" s="781"/>
      <c r="AS62" s="781"/>
      <c r="AT62" s="781"/>
    </row>
    <row r="63" spans="4:46" ht="11.25" customHeight="1">
      <c r="D63" s="1">
        <v>18</v>
      </c>
    </row>
    <row r="64" spans="4:46" ht="11.25" hidden="1" customHeight="1">
      <c r="D64" s="1">
        <v>0</v>
      </c>
    </row>
    <row r="65" spans="4:46" ht="11.25" customHeight="1">
      <c r="D65" s="1">
        <v>18</v>
      </c>
      <c r="AB65" s="1030" t="s">
        <v>1332</v>
      </c>
      <c r="AC65" s="781"/>
      <c r="AD65" s="781"/>
      <c r="AE65" s="781"/>
      <c r="AF65" s="781"/>
      <c r="AG65" s="781"/>
      <c r="AH65" s="781"/>
      <c r="AI65" s="781"/>
      <c r="AJ65" s="781"/>
      <c r="AK65" s="781"/>
      <c r="AL65" s="781"/>
      <c r="AM65" s="781"/>
      <c r="AN65" s="781"/>
      <c r="AO65" s="781"/>
      <c r="AP65" s="781"/>
      <c r="AQ65" s="781"/>
    </row>
    <row r="66" spans="4:46" ht="11.25" customHeight="1">
      <c r="D66" s="1">
        <v>18</v>
      </c>
    </row>
    <row r="67" spans="4:46" ht="25.5" customHeight="1">
      <c r="D67" s="1">
        <v>42</v>
      </c>
      <c r="AB67" s="832" t="s">
        <v>1661</v>
      </c>
      <c r="AC67" s="781"/>
      <c r="AD67" s="781"/>
      <c r="AE67" s="781"/>
      <c r="AF67" s="781"/>
      <c r="AG67" s="781"/>
      <c r="AH67" s="781"/>
      <c r="AI67" s="781"/>
      <c r="AJ67" s="781"/>
      <c r="AK67" s="781"/>
      <c r="AL67" s="781"/>
      <c r="AM67" s="781"/>
      <c r="AN67" s="781"/>
      <c r="AO67" s="781"/>
      <c r="AP67" s="781"/>
      <c r="AQ67" s="781"/>
      <c r="AR67" s="781"/>
      <c r="AS67" s="781"/>
      <c r="AT67" s="781"/>
    </row>
    <row r="68" spans="4:46" ht="25.5" customHeight="1">
      <c r="D68" s="1">
        <v>42</v>
      </c>
      <c r="AB68" s="832" t="s">
        <v>1915</v>
      </c>
      <c r="AC68" s="781"/>
      <c r="AD68" s="781"/>
      <c r="AE68" s="781"/>
      <c r="AF68" s="781"/>
      <c r="AG68" s="781"/>
      <c r="AH68" s="781"/>
      <c r="AI68" s="781"/>
      <c r="AJ68" s="781"/>
      <c r="AK68" s="781"/>
      <c r="AL68" s="781"/>
      <c r="AM68" s="781"/>
      <c r="AN68" s="781"/>
      <c r="AO68" s="781"/>
      <c r="AP68" s="781"/>
      <c r="AQ68" s="781"/>
      <c r="AR68" s="781"/>
      <c r="AS68" s="781"/>
      <c r="AT68" s="781"/>
    </row>
    <row r="69" spans="4:46" ht="12" customHeight="1">
      <c r="D69" s="1">
        <v>20</v>
      </c>
    </row>
    <row r="70" spans="4:46" ht="56.25" customHeight="1">
      <c r="D70" s="1">
        <v>90</v>
      </c>
      <c r="AB70" s="832" t="s">
        <v>1663</v>
      </c>
      <c r="AC70" s="781"/>
      <c r="AD70" s="781"/>
      <c r="AE70" s="781"/>
      <c r="AF70" s="781"/>
      <c r="AG70" s="781"/>
      <c r="AH70" s="781"/>
      <c r="AI70" s="781"/>
      <c r="AJ70" s="781"/>
      <c r="AK70" s="781"/>
      <c r="AL70" s="781"/>
      <c r="AM70" s="781"/>
      <c r="AN70" s="781"/>
      <c r="AO70" s="781"/>
      <c r="AP70" s="781"/>
      <c r="AQ70" s="781"/>
      <c r="AR70" s="781"/>
      <c r="AS70" s="781"/>
      <c r="AT70" s="781"/>
    </row>
    <row r="71" spans="4:46" ht="11.25" customHeight="1">
      <c r="D71" s="1">
        <v>18</v>
      </c>
      <c r="AB71" s="1030" t="s">
        <v>1334</v>
      </c>
      <c r="AC71" s="781"/>
      <c r="AD71" s="781"/>
      <c r="AE71" s="781"/>
      <c r="AF71" s="781"/>
      <c r="AG71" s="781"/>
      <c r="AH71" s="781"/>
      <c r="AI71" s="781"/>
      <c r="AJ71" s="781"/>
      <c r="AK71" s="781"/>
      <c r="AL71" s="781"/>
      <c r="AM71" s="781"/>
      <c r="AN71" s="781"/>
      <c r="AO71" s="781"/>
      <c r="AP71" s="781"/>
      <c r="AQ71" s="781"/>
    </row>
    <row r="72" spans="4:46" ht="11.25" customHeight="1">
      <c r="D72" s="1">
        <v>18</v>
      </c>
    </row>
    <row r="73" spans="4:46" ht="70.5" customHeight="1">
      <c r="D73" s="1">
        <v>112</v>
      </c>
      <c r="AB73" s="832" t="s">
        <v>1916</v>
      </c>
      <c r="AC73" s="781"/>
      <c r="AD73" s="781"/>
      <c r="AE73" s="781"/>
      <c r="AF73" s="781"/>
      <c r="AG73" s="781"/>
      <c r="AH73" s="781"/>
      <c r="AI73" s="781"/>
      <c r="AJ73" s="781"/>
      <c r="AK73" s="781"/>
      <c r="AL73" s="781"/>
      <c r="AM73" s="781"/>
      <c r="AN73" s="781"/>
      <c r="AO73" s="781"/>
      <c r="AP73" s="781"/>
      <c r="AQ73" s="781"/>
      <c r="AR73" s="781"/>
      <c r="AS73" s="781"/>
      <c r="AT73" s="781"/>
    </row>
    <row r="74" spans="4:46" ht="11.25" customHeight="1">
      <c r="D74" s="1">
        <v>18</v>
      </c>
      <c r="AB74" s="781"/>
      <c r="AC74" s="781"/>
      <c r="AD74" s="781"/>
      <c r="AE74" s="781"/>
      <c r="AF74" s="781"/>
      <c r="AG74" s="781"/>
      <c r="AH74" s="781"/>
      <c r="AI74" s="781"/>
      <c r="AJ74" s="781"/>
      <c r="AK74" s="781"/>
      <c r="AL74" s="781"/>
      <c r="AM74" s="781"/>
      <c r="AN74" s="781"/>
      <c r="AO74" s="781"/>
      <c r="AP74" s="781"/>
      <c r="AQ74" s="781"/>
      <c r="AR74" s="781"/>
      <c r="AS74" s="781"/>
      <c r="AT74" s="781"/>
    </row>
    <row r="75" spans="4:46" ht="11.25" customHeight="1">
      <c r="D75" s="1">
        <v>18</v>
      </c>
      <c r="AB75" s="1030" t="s">
        <v>1337</v>
      </c>
      <c r="AC75" s="781"/>
      <c r="AD75" s="781"/>
      <c r="AE75" s="781"/>
      <c r="AF75" s="781"/>
      <c r="AG75" s="781"/>
      <c r="AH75" s="781"/>
      <c r="AI75" s="781"/>
      <c r="AJ75" s="781"/>
      <c r="AK75" s="781"/>
      <c r="AL75" s="781"/>
      <c r="AM75" s="781"/>
      <c r="AN75" s="781"/>
      <c r="AO75" s="781"/>
      <c r="AP75" s="781"/>
      <c r="AQ75" s="781"/>
    </row>
    <row r="76" spans="4:46" ht="25.5" customHeight="1">
      <c r="D76" s="1">
        <v>42</v>
      </c>
      <c r="AB76" s="832" t="s">
        <v>1338</v>
      </c>
      <c r="AC76" s="781"/>
      <c r="AD76" s="781"/>
      <c r="AE76" s="781"/>
      <c r="AF76" s="781"/>
      <c r="AG76" s="781"/>
      <c r="AH76" s="781"/>
      <c r="AI76" s="781"/>
      <c r="AJ76" s="781"/>
      <c r="AK76" s="781"/>
      <c r="AL76" s="781"/>
      <c r="AM76" s="781"/>
      <c r="AN76" s="781"/>
      <c r="AO76" s="781"/>
      <c r="AP76" s="781"/>
      <c r="AQ76" s="781"/>
      <c r="AR76" s="781"/>
      <c r="AS76" s="781"/>
      <c r="AT76" s="781"/>
    </row>
    <row r="77" spans="4:46" ht="11.25" customHeight="1">
      <c r="D77" s="1">
        <v>18</v>
      </c>
      <c r="AB77" s="832" t="s">
        <v>1669</v>
      </c>
      <c r="AC77" s="781"/>
      <c r="AD77" s="781"/>
      <c r="AE77" s="781"/>
      <c r="AF77" s="781"/>
      <c r="AG77" s="781"/>
      <c r="AH77" s="781"/>
      <c r="AI77" s="781"/>
      <c r="AJ77" s="781"/>
      <c r="AK77" s="781"/>
      <c r="AL77" s="781"/>
      <c r="AM77" s="781"/>
      <c r="AN77" s="781"/>
      <c r="AO77" s="781"/>
      <c r="AP77" s="781"/>
      <c r="AQ77" s="781"/>
      <c r="AR77" s="781"/>
      <c r="AS77" s="781"/>
      <c r="AT77" s="781"/>
    </row>
    <row r="78" spans="4:46" ht="11.25" customHeight="1">
      <c r="D78" s="1">
        <v>18</v>
      </c>
      <c r="AB78" s="832" t="s">
        <v>1670</v>
      </c>
      <c r="AC78" s="781"/>
      <c r="AD78" s="781"/>
      <c r="AE78" s="781"/>
      <c r="AF78" s="781"/>
      <c r="AG78" s="781"/>
      <c r="AH78" s="781"/>
      <c r="AI78" s="781"/>
      <c r="AJ78" s="781"/>
      <c r="AK78" s="781"/>
      <c r="AL78" s="781"/>
      <c r="AM78" s="781"/>
      <c r="AN78" s="781"/>
      <c r="AO78" s="781"/>
      <c r="AP78" s="781"/>
      <c r="AQ78" s="781"/>
      <c r="AR78" s="781"/>
      <c r="AS78" s="781"/>
      <c r="AT78" s="781"/>
    </row>
    <row r="79" spans="4:46" ht="24.75" customHeight="1">
      <c r="D79" s="1">
        <v>40</v>
      </c>
      <c r="AB79" s="832" t="s">
        <v>1339</v>
      </c>
      <c r="AC79" s="781"/>
      <c r="AD79" s="781"/>
      <c r="AE79" s="781"/>
      <c r="AF79" s="781"/>
      <c r="AG79" s="781"/>
      <c r="AH79" s="781"/>
      <c r="AI79" s="781"/>
      <c r="AJ79" s="781"/>
      <c r="AK79" s="781"/>
      <c r="AL79" s="781"/>
      <c r="AM79" s="781"/>
      <c r="AN79" s="781"/>
      <c r="AO79" s="781"/>
      <c r="AP79" s="781"/>
      <c r="AQ79" s="781"/>
      <c r="AR79" s="781"/>
      <c r="AS79" s="781"/>
      <c r="AT79" s="781"/>
    </row>
    <row r="80" spans="4:46" ht="11.25" customHeight="1">
      <c r="D80" s="1">
        <v>18</v>
      </c>
      <c r="AB80" s="29" t="s">
        <v>1340</v>
      </c>
      <c r="AC80" s="1125"/>
      <c r="AD80" s="1126"/>
      <c r="AE80" s="29" t="s">
        <v>1304</v>
      </c>
      <c r="AF80" s="1036"/>
      <c r="AG80" s="1037"/>
    </row>
    <row r="81" spans="4:46" ht="11.25" customHeight="1">
      <c r="D81" s="1">
        <v>18</v>
      </c>
    </row>
    <row r="82" spans="4:46" ht="48.75" customHeight="1">
      <c r="D82" s="1">
        <v>79</v>
      </c>
      <c r="AB82" s="832" t="s">
        <v>1671</v>
      </c>
      <c r="AC82" s="781"/>
      <c r="AD82" s="781"/>
      <c r="AE82" s="781"/>
      <c r="AF82" s="781"/>
      <c r="AG82" s="781"/>
      <c r="AH82" s="781"/>
      <c r="AI82" s="781"/>
      <c r="AJ82" s="781"/>
      <c r="AK82" s="781"/>
      <c r="AL82" s="781"/>
      <c r="AM82" s="781"/>
      <c r="AN82" s="781"/>
      <c r="AO82" s="781"/>
      <c r="AP82" s="781"/>
      <c r="AQ82" s="781"/>
      <c r="AR82" s="781"/>
      <c r="AS82" s="781"/>
      <c r="AT82" s="781"/>
    </row>
    <row r="83" spans="4:46" ht="11.25" customHeight="1">
      <c r="D83" s="1">
        <v>18</v>
      </c>
      <c r="AB83" s="832" t="s">
        <v>1672</v>
      </c>
      <c r="AC83" s="781"/>
      <c r="AD83" s="781"/>
      <c r="AE83" s="781"/>
      <c r="AF83" s="781"/>
      <c r="AG83" s="781"/>
      <c r="AH83" s="781"/>
      <c r="AI83" s="781"/>
      <c r="AJ83" s="781"/>
      <c r="AK83" s="781"/>
      <c r="AL83" s="781"/>
      <c r="AM83" s="781"/>
      <c r="AN83" s="781"/>
      <c r="AO83" s="781"/>
      <c r="AP83" s="781"/>
      <c r="AQ83" s="781"/>
      <c r="AR83" s="781"/>
      <c r="AS83" s="781"/>
      <c r="AT83" s="781"/>
    </row>
    <row r="84" spans="4:46" ht="27" customHeight="1">
      <c r="D84" s="1">
        <v>44</v>
      </c>
      <c r="AB84" s="832" t="s">
        <v>1673</v>
      </c>
      <c r="AC84" s="781"/>
      <c r="AD84" s="781"/>
      <c r="AE84" s="781"/>
      <c r="AF84" s="781"/>
      <c r="AG84" s="781"/>
      <c r="AH84" s="781"/>
      <c r="AI84" s="781"/>
      <c r="AJ84" s="781"/>
      <c r="AK84" s="781"/>
      <c r="AL84" s="781"/>
      <c r="AM84" s="781"/>
      <c r="AN84" s="781"/>
      <c r="AO84" s="781"/>
      <c r="AP84" s="781"/>
      <c r="AQ84" s="781"/>
      <c r="AR84" s="781"/>
      <c r="AS84" s="781"/>
      <c r="AT84" s="781"/>
    </row>
    <row r="85" spans="4:46" ht="11.25" customHeight="1">
      <c r="D85" s="1">
        <v>18</v>
      </c>
      <c r="AB85" s="832" t="s">
        <v>1342</v>
      </c>
      <c r="AC85" s="781"/>
      <c r="AD85" s="781"/>
      <c r="AE85" s="781"/>
      <c r="AF85" s="781"/>
      <c r="AG85" s="781"/>
      <c r="AH85" s="781"/>
      <c r="AI85" s="781"/>
      <c r="AJ85" s="781"/>
      <c r="AK85" s="781"/>
      <c r="AL85" s="781"/>
      <c r="AM85" s="781"/>
      <c r="AN85" s="781"/>
      <c r="AO85" s="781"/>
      <c r="AP85" s="781"/>
      <c r="AQ85" s="781"/>
      <c r="AR85" s="781"/>
      <c r="AS85" s="781"/>
      <c r="AT85" s="781"/>
    </row>
    <row r="86" spans="4:46" ht="11.25" customHeight="1">
      <c r="D86" s="1">
        <v>18</v>
      </c>
    </row>
    <row r="87" spans="4:46" ht="11.25" customHeight="1">
      <c r="D87" s="1">
        <v>18</v>
      </c>
      <c r="AB87" s="1030" t="s">
        <v>1343</v>
      </c>
      <c r="AC87" s="781"/>
      <c r="AD87" s="781"/>
      <c r="AE87" s="781"/>
      <c r="AF87" s="781"/>
      <c r="AG87" s="781"/>
      <c r="AH87" s="781"/>
      <c r="AI87" s="781"/>
      <c r="AJ87" s="781"/>
      <c r="AK87" s="781"/>
      <c r="AL87" s="781"/>
      <c r="AM87" s="781"/>
      <c r="AN87" s="781"/>
      <c r="AO87" s="781"/>
      <c r="AP87" s="781"/>
      <c r="AQ87" s="781"/>
    </row>
    <row r="88" spans="4:46" ht="11.25" customHeight="1">
      <c r="D88" s="1">
        <v>18</v>
      </c>
      <c r="AB88" s="829" t="s">
        <v>1344</v>
      </c>
      <c r="AC88" s="781"/>
      <c r="AD88" s="781"/>
      <c r="AE88" s="781"/>
      <c r="AF88" s="781"/>
      <c r="AG88" s="781"/>
      <c r="AH88" s="781"/>
      <c r="AI88" s="781"/>
      <c r="AJ88" s="781"/>
      <c r="AK88" s="781"/>
      <c r="AL88" s="781"/>
      <c r="AM88" s="781"/>
      <c r="AN88" s="781"/>
      <c r="AO88" s="781"/>
      <c r="AP88" s="781"/>
      <c r="AQ88" s="781"/>
      <c r="AR88" s="781"/>
      <c r="AS88" s="781"/>
      <c r="AT88" s="781"/>
    </row>
    <row r="89" spans="4:46" ht="23.25" customHeight="1">
      <c r="D89" s="1">
        <v>37</v>
      </c>
      <c r="AB89" s="829" t="s">
        <v>1674</v>
      </c>
      <c r="AC89" s="781"/>
      <c r="AD89" s="781"/>
      <c r="AE89" s="781"/>
      <c r="AF89" s="781"/>
      <c r="AG89" s="781"/>
      <c r="AH89" s="781"/>
      <c r="AI89" s="781"/>
      <c r="AJ89" s="781"/>
      <c r="AK89" s="781"/>
      <c r="AL89" s="781"/>
      <c r="AM89" s="781"/>
      <c r="AN89" s="781"/>
      <c r="AO89" s="781"/>
      <c r="AP89" s="781"/>
      <c r="AQ89" s="781"/>
      <c r="AR89" s="781"/>
      <c r="AS89" s="781"/>
      <c r="AT89" s="781"/>
    </row>
    <row r="90" spans="4:46" ht="11.25" customHeight="1">
      <c r="D90" s="1">
        <v>18</v>
      </c>
      <c r="AB90" s="829" t="s">
        <v>1675</v>
      </c>
      <c r="AC90" s="781"/>
      <c r="AD90" s="781"/>
      <c r="AE90" s="781"/>
      <c r="AF90" s="781"/>
      <c r="AG90" s="781"/>
      <c r="AH90" s="781"/>
      <c r="AI90" s="781"/>
      <c r="AJ90" s="781"/>
      <c r="AK90" s="781"/>
      <c r="AL90" s="781"/>
      <c r="AM90" s="781"/>
      <c r="AN90" s="781"/>
      <c r="AO90" s="781"/>
      <c r="AP90" s="781"/>
      <c r="AQ90" s="781"/>
      <c r="AR90" s="781"/>
      <c r="AS90" s="781"/>
      <c r="AT90" s="781"/>
    </row>
    <row r="91" spans="4:46" ht="11.25" customHeight="1">
      <c r="D91" s="1">
        <v>18</v>
      </c>
      <c r="AB91" s="829" t="s">
        <v>1676</v>
      </c>
      <c r="AC91" s="781"/>
      <c r="AD91" s="781"/>
      <c r="AE91" s="781"/>
      <c r="AF91" s="781"/>
      <c r="AG91" s="781"/>
      <c r="AH91" s="781"/>
      <c r="AI91" s="781"/>
      <c r="AJ91" s="781"/>
      <c r="AK91" s="781"/>
      <c r="AL91" s="781"/>
      <c r="AM91" s="781"/>
      <c r="AN91" s="781"/>
      <c r="AO91" s="781"/>
      <c r="AP91" s="781"/>
      <c r="AQ91" s="781"/>
      <c r="AR91" s="781"/>
      <c r="AS91" s="781"/>
      <c r="AT91" s="781"/>
    </row>
    <row r="92" spans="4:46" ht="11.25" customHeight="1">
      <c r="D92" s="1">
        <v>18</v>
      </c>
      <c r="AB92" s="829" t="s">
        <v>1677</v>
      </c>
      <c r="AC92" s="781"/>
      <c r="AD92" s="781"/>
      <c r="AE92" s="781"/>
      <c r="AF92" s="781"/>
      <c r="AG92" s="781"/>
      <c r="AH92" s="781"/>
      <c r="AI92" s="781"/>
      <c r="AJ92" s="781"/>
      <c r="AK92" s="781"/>
      <c r="AL92" s="781"/>
      <c r="AM92" s="781"/>
      <c r="AN92" s="781"/>
      <c r="AO92" s="781"/>
      <c r="AP92" s="781"/>
      <c r="AQ92" s="781"/>
      <c r="AR92" s="781"/>
      <c r="AS92" s="781"/>
      <c r="AT92" s="781"/>
    </row>
    <row r="93" spans="4:46" ht="11.25" customHeight="1">
      <c r="D93" s="1">
        <v>18</v>
      </c>
      <c r="AB93" s="105" t="s">
        <v>1346</v>
      </c>
    </row>
    <row r="94" spans="4:46" ht="11.25" customHeight="1">
      <c r="D94" s="1">
        <v>18</v>
      </c>
      <c r="AB94" s="829" t="s">
        <v>1347</v>
      </c>
      <c r="AC94" s="781"/>
      <c r="AD94" s="781"/>
      <c r="AE94" s="781"/>
      <c r="AF94" s="781"/>
      <c r="AG94" s="781"/>
      <c r="AH94" s="781"/>
      <c r="AI94" s="781"/>
      <c r="AJ94" s="781"/>
      <c r="AK94" s="781"/>
      <c r="AL94" s="781"/>
      <c r="AM94" s="781"/>
      <c r="AN94" s="781"/>
      <c r="AO94" s="781"/>
      <c r="AP94" s="781"/>
      <c r="AQ94" s="781"/>
      <c r="AR94" s="781"/>
      <c r="AS94" s="781"/>
      <c r="AT94" s="781"/>
    </row>
    <row r="95" spans="4:46" ht="11.25" customHeight="1">
      <c r="D95" s="1">
        <v>18</v>
      </c>
      <c r="AB95" s="829" t="s">
        <v>1348</v>
      </c>
      <c r="AC95" s="781"/>
      <c r="AD95" s="781"/>
      <c r="AE95" s="781"/>
      <c r="AF95" s="781"/>
      <c r="AG95" s="781"/>
      <c r="AH95" s="781"/>
      <c r="AI95" s="781"/>
      <c r="AJ95" s="781"/>
      <c r="AK95" s="781"/>
      <c r="AL95" s="781"/>
      <c r="AM95" s="781"/>
      <c r="AN95" s="781"/>
      <c r="AO95" s="781"/>
      <c r="AP95" s="781"/>
      <c r="AQ95" s="781"/>
      <c r="AR95" s="781"/>
      <c r="AS95" s="781"/>
      <c r="AT95" s="781"/>
    </row>
    <row r="96" spans="4:46" ht="47.25" customHeight="1">
      <c r="D96" s="1">
        <v>76</v>
      </c>
      <c r="AB96" s="829" t="s">
        <v>1349</v>
      </c>
      <c r="AC96" s="781"/>
      <c r="AD96" s="781"/>
      <c r="AE96" s="781"/>
      <c r="AF96" s="781"/>
      <c r="AG96" s="781"/>
      <c r="AH96" s="781"/>
      <c r="AI96" s="781"/>
      <c r="AJ96" s="781"/>
      <c r="AK96" s="781"/>
      <c r="AL96" s="781"/>
      <c r="AM96" s="781"/>
      <c r="AN96" s="781"/>
      <c r="AO96" s="781"/>
      <c r="AP96" s="781"/>
      <c r="AQ96" s="781"/>
      <c r="AR96" s="781"/>
      <c r="AS96" s="781"/>
      <c r="AT96" s="781"/>
    </row>
    <row r="97" spans="4:46" ht="11.25" customHeight="1">
      <c r="D97" s="1">
        <v>18</v>
      </c>
      <c r="AB97" s="829" t="s">
        <v>1350</v>
      </c>
      <c r="AC97" s="781"/>
      <c r="AD97" s="781"/>
      <c r="AE97" s="781"/>
      <c r="AF97" s="781"/>
      <c r="AG97" s="781"/>
      <c r="AH97" s="781"/>
      <c r="AI97" s="781"/>
      <c r="AJ97" s="781"/>
      <c r="AK97" s="781"/>
      <c r="AL97" s="781"/>
      <c r="AM97" s="781"/>
      <c r="AN97" s="781"/>
      <c r="AO97" s="781"/>
      <c r="AP97" s="781"/>
      <c r="AQ97" s="781"/>
      <c r="AR97" s="781"/>
      <c r="AS97" s="781"/>
      <c r="AT97" s="781"/>
    </row>
    <row r="98" spans="4:46" ht="23.25" customHeight="1">
      <c r="D98" s="1">
        <v>37</v>
      </c>
      <c r="AB98" s="829" t="s">
        <v>1678</v>
      </c>
      <c r="AC98" s="781"/>
      <c r="AD98" s="781"/>
      <c r="AE98" s="781"/>
      <c r="AF98" s="781"/>
      <c r="AG98" s="781"/>
      <c r="AH98" s="781"/>
      <c r="AI98" s="781"/>
      <c r="AJ98" s="781"/>
      <c r="AK98" s="781"/>
      <c r="AL98" s="781"/>
      <c r="AM98" s="781"/>
      <c r="AN98" s="781"/>
      <c r="AO98" s="781"/>
      <c r="AP98" s="781"/>
      <c r="AQ98" s="781"/>
      <c r="AR98" s="781"/>
      <c r="AS98" s="781"/>
      <c r="AT98" s="781"/>
    </row>
    <row r="99" spans="4:46" ht="11.25" customHeight="1">
      <c r="D99" s="1">
        <v>18</v>
      </c>
      <c r="AB99" s="829" t="s">
        <v>1351</v>
      </c>
      <c r="AC99" s="781"/>
      <c r="AD99" s="781"/>
      <c r="AE99" s="781"/>
      <c r="AF99" s="781"/>
      <c r="AG99" s="781"/>
      <c r="AH99" s="781"/>
      <c r="AI99" s="781"/>
      <c r="AJ99" s="781"/>
      <c r="AK99" s="781"/>
      <c r="AL99" s="781"/>
      <c r="AM99" s="781"/>
      <c r="AN99" s="781"/>
      <c r="AO99" s="781"/>
      <c r="AP99" s="781"/>
      <c r="AQ99" s="781"/>
      <c r="AR99" s="781"/>
      <c r="AS99" s="781"/>
      <c r="AT99" s="781"/>
    </row>
    <row r="100" spans="4:46" ht="11.25" customHeight="1">
      <c r="D100" s="1">
        <v>18</v>
      </c>
      <c r="AB100" s="781"/>
      <c r="AC100" s="781"/>
      <c r="AD100" s="781"/>
      <c r="AE100" s="781"/>
      <c r="AF100" s="781"/>
      <c r="AG100" s="781"/>
      <c r="AH100" s="781"/>
      <c r="AI100" s="781"/>
      <c r="AJ100" s="781"/>
      <c r="AK100" s="781"/>
      <c r="AL100" s="781"/>
      <c r="AM100" s="781"/>
      <c r="AN100" s="781"/>
      <c r="AO100" s="781"/>
      <c r="AP100" s="781"/>
      <c r="AQ100" s="781"/>
      <c r="AR100" s="781"/>
      <c r="AS100" s="781"/>
      <c r="AT100" s="781"/>
    </row>
    <row r="101" spans="4:46" ht="41.25" customHeight="1">
      <c r="D101" s="1">
        <v>66</v>
      </c>
      <c r="AB101" s="1038"/>
      <c r="AC101" s="1038"/>
      <c r="AD101" s="1038"/>
      <c r="AE101" s="1038"/>
      <c r="AF101" s="1038"/>
      <c r="AG101" s="1038"/>
      <c r="AH101" s="1038"/>
      <c r="AI101" s="1038"/>
      <c r="AJ101" s="1038"/>
      <c r="AK101" s="1038"/>
      <c r="AL101" s="1038"/>
      <c r="AM101" s="1038"/>
      <c r="AN101" s="1038"/>
      <c r="AO101" s="1038"/>
      <c r="AP101" s="1038"/>
      <c r="AQ101" s="1038"/>
      <c r="AR101" s="1038"/>
      <c r="AS101" s="1038"/>
    </row>
    <row r="102" spans="4:46" ht="11.25" hidden="1" customHeight="1">
      <c r="D102" s="1">
        <v>0</v>
      </c>
      <c r="AB102" s="781"/>
      <c r="AC102" s="781"/>
      <c r="AD102" s="781"/>
      <c r="AE102" s="781"/>
      <c r="AF102" s="781"/>
      <c r="AG102" s="781"/>
      <c r="AH102" s="781"/>
      <c r="AI102" s="781"/>
      <c r="AJ102" s="781"/>
      <c r="AK102" s="781"/>
      <c r="AL102" s="781"/>
      <c r="AM102" s="781"/>
      <c r="AN102" s="781"/>
      <c r="AO102" s="781"/>
      <c r="AP102" s="781"/>
      <c r="AQ102" s="781"/>
      <c r="AR102" s="781"/>
      <c r="AS102" s="781"/>
      <c r="AT102" s="781"/>
    </row>
    <row r="103" spans="4:46" ht="11.25" hidden="1" customHeight="1">
      <c r="D103" s="1">
        <v>0</v>
      </c>
      <c r="AB103" s="781"/>
      <c r="AC103" s="781"/>
      <c r="AD103" s="781"/>
      <c r="AE103" s="781"/>
      <c r="AF103" s="781"/>
      <c r="AG103" s="781"/>
      <c r="AH103" s="781"/>
      <c r="AI103" s="781"/>
      <c r="AJ103" s="781"/>
      <c r="AK103" s="781"/>
      <c r="AL103" s="781"/>
      <c r="AM103" s="781"/>
      <c r="AN103" s="781"/>
      <c r="AO103" s="781"/>
      <c r="AP103" s="781"/>
      <c r="AQ103" s="781"/>
      <c r="AR103" s="781"/>
      <c r="AS103" s="781"/>
      <c r="AT103" s="781"/>
    </row>
    <row r="104" spans="4:46" ht="11.25" hidden="1" customHeight="1">
      <c r="D104" s="1">
        <v>0</v>
      </c>
      <c r="AB104" s="781"/>
      <c r="AC104" s="781"/>
      <c r="AD104" s="781"/>
      <c r="AE104" s="781"/>
      <c r="AF104" s="781"/>
      <c r="AG104" s="781"/>
      <c r="AH104" s="781"/>
      <c r="AI104" s="781"/>
      <c r="AJ104" s="781"/>
      <c r="AK104" s="781"/>
      <c r="AL104" s="781"/>
      <c r="AM104" s="781"/>
      <c r="AN104" s="781"/>
      <c r="AO104" s="781"/>
      <c r="AP104" s="781"/>
      <c r="AQ104" s="781"/>
      <c r="AR104" s="781"/>
      <c r="AS104" s="781"/>
      <c r="AT104" s="781"/>
    </row>
    <row r="105" spans="4:46" ht="11.25" hidden="1" customHeight="1">
      <c r="D105" s="1">
        <v>0</v>
      </c>
      <c r="AB105" s="781"/>
      <c r="AC105" s="781"/>
      <c r="AD105" s="781"/>
      <c r="AE105" s="781"/>
      <c r="AF105" s="781"/>
      <c r="AG105" s="781"/>
      <c r="AH105" s="781"/>
      <c r="AI105" s="781"/>
      <c r="AJ105" s="781"/>
      <c r="AK105" s="781"/>
      <c r="AL105" s="781"/>
      <c r="AM105" s="781"/>
      <c r="AN105" s="781"/>
      <c r="AO105" s="781"/>
      <c r="AP105" s="781"/>
      <c r="AQ105" s="781"/>
      <c r="AR105" s="781"/>
      <c r="AS105" s="781"/>
      <c r="AT105" s="781"/>
    </row>
    <row r="106" spans="4:46" ht="11.25" hidden="1" customHeight="1">
      <c r="D106" s="1">
        <v>0</v>
      </c>
    </row>
    <row r="107" spans="4:46" ht="11.25" customHeight="1">
      <c r="D107" s="1">
        <v>18</v>
      </c>
      <c r="AB107" s="1030" t="s">
        <v>1352</v>
      </c>
      <c r="AC107" s="781"/>
      <c r="AD107" s="781"/>
      <c r="AE107" s="781"/>
      <c r="AF107" s="781"/>
      <c r="AG107" s="781"/>
      <c r="AH107" s="781"/>
      <c r="AI107" s="781"/>
      <c r="AJ107" s="781"/>
      <c r="AK107" s="781"/>
      <c r="AL107" s="781"/>
      <c r="AM107" s="781"/>
      <c r="AN107" s="781"/>
      <c r="AO107" s="781"/>
      <c r="AP107" s="781"/>
      <c r="AQ107" s="781"/>
    </row>
    <row r="108" spans="4:46" ht="11.25" customHeight="1">
      <c r="D108" s="1">
        <v>18</v>
      </c>
    </row>
    <row r="109" spans="4:46" ht="11.25" customHeight="1">
      <c r="D109" s="1">
        <v>18</v>
      </c>
      <c r="AB109" s="1030" t="s">
        <v>1353</v>
      </c>
      <c r="AC109" s="781"/>
      <c r="AD109" s="781"/>
      <c r="AE109" s="781"/>
      <c r="AF109" s="781"/>
      <c r="AG109" s="781"/>
      <c r="AH109" s="781"/>
      <c r="AI109" s="781"/>
      <c r="AJ109" s="781"/>
      <c r="AK109" s="781"/>
      <c r="AL109" s="781"/>
      <c r="AM109" s="781"/>
      <c r="AN109" s="781"/>
      <c r="AO109" s="781"/>
      <c r="AP109" s="781"/>
      <c r="AQ109" s="781"/>
    </row>
    <row r="110" spans="4:46" ht="11.25" customHeight="1">
      <c r="D110" s="1">
        <v>18</v>
      </c>
      <c r="AB110" s="829" t="s">
        <v>1297</v>
      </c>
      <c r="AC110" s="781"/>
      <c r="AD110" s="781"/>
      <c r="AE110" s="781"/>
      <c r="AF110" s="781"/>
      <c r="AG110" s="1038"/>
      <c r="AH110" s="1038"/>
      <c r="AI110" s="1038"/>
      <c r="AJ110" s="1038"/>
      <c r="AK110" s="1038"/>
      <c r="AL110" s="1038"/>
      <c r="AM110" s="1038"/>
      <c r="AN110" s="1038"/>
      <c r="AO110" s="1038"/>
      <c r="AP110" s="1038"/>
      <c r="AQ110" s="1038"/>
    </row>
    <row r="111" spans="4:46" ht="11.25" customHeight="1">
      <c r="D111" s="1">
        <v>18</v>
      </c>
      <c r="AB111" s="829" t="s">
        <v>1298</v>
      </c>
      <c r="AC111" s="781"/>
      <c r="AD111" s="781"/>
      <c r="AE111" s="781"/>
      <c r="AF111" s="781"/>
      <c r="AG111" s="1025" t="s">
        <v>1654</v>
      </c>
      <c r="AH111" s="781"/>
      <c r="AI111" s="781"/>
      <c r="AJ111" s="781"/>
      <c r="AK111" s="781"/>
      <c r="AL111" s="781"/>
      <c r="AM111" s="781"/>
      <c r="AN111" s="781"/>
      <c r="AO111" s="781"/>
      <c r="AP111" s="781"/>
      <c r="AQ111" s="781"/>
    </row>
    <row r="112" spans="4:46" ht="11.25" customHeight="1">
      <c r="D112" s="1">
        <v>18</v>
      </c>
      <c r="AB112" s="829" t="s">
        <v>1354</v>
      </c>
      <c r="AC112" s="781"/>
      <c r="AD112" s="781"/>
      <c r="AE112" s="781"/>
      <c r="AF112" s="781"/>
      <c r="AG112" s="878"/>
      <c r="AH112" s="1038"/>
      <c r="AI112" s="1038"/>
      <c r="AJ112" s="1038"/>
      <c r="AK112" s="1038"/>
      <c r="AL112" s="1038"/>
      <c r="AM112" s="1038"/>
      <c r="AN112" s="1038"/>
      <c r="AO112" s="1038"/>
      <c r="AP112" s="1038"/>
      <c r="AQ112" s="1038"/>
    </row>
    <row r="113" spans="4:46" ht="11.25" customHeight="1">
      <c r="D113" s="1">
        <v>18</v>
      </c>
      <c r="AB113" s="829" t="s">
        <v>1355</v>
      </c>
      <c r="AC113" s="781"/>
      <c r="AD113" s="781"/>
      <c r="AE113" s="781"/>
      <c r="AF113" s="781"/>
      <c r="AG113" s="878"/>
      <c r="AH113" s="1038"/>
      <c r="AI113" s="1038"/>
      <c r="AJ113" s="1038"/>
      <c r="AK113" s="1038"/>
      <c r="AL113" s="1038"/>
      <c r="AM113" s="1038"/>
      <c r="AN113" s="1038"/>
      <c r="AO113" s="1038"/>
      <c r="AP113" s="1038"/>
      <c r="AQ113" s="1038"/>
    </row>
    <row r="114" spans="4:46" ht="11.25" customHeight="1">
      <c r="D114" s="1">
        <v>18</v>
      </c>
      <c r="AB114" s="829" t="s">
        <v>385</v>
      </c>
      <c r="AC114" s="781"/>
      <c r="AD114" s="781"/>
      <c r="AE114" s="781"/>
      <c r="AF114" s="781"/>
      <c r="AG114" s="1038"/>
      <c r="AH114" s="1038"/>
      <c r="AI114" s="1038"/>
      <c r="AJ114" s="1038"/>
      <c r="AK114" s="1038"/>
      <c r="AL114" s="1038"/>
      <c r="AM114" s="1038"/>
      <c r="AN114" s="1038"/>
      <c r="AO114" s="1038"/>
      <c r="AP114" s="1038"/>
      <c r="AQ114" s="1038"/>
    </row>
    <row r="115" spans="4:46" ht="11.25" customHeight="1">
      <c r="D115" s="1">
        <v>18</v>
      </c>
      <c r="AB115" s="105" t="s">
        <v>1356</v>
      </c>
      <c r="AG115" s="1038"/>
      <c r="AH115" s="1038"/>
      <c r="AI115" s="1038"/>
      <c r="AJ115" s="1038"/>
      <c r="AK115" s="1038"/>
      <c r="AL115" s="1038"/>
      <c r="AM115" s="1038"/>
      <c r="AN115" s="1038"/>
      <c r="AO115" s="1038"/>
      <c r="AP115" s="1038"/>
      <c r="AQ115" s="1038"/>
    </row>
    <row r="116" spans="4:46" ht="11.25" customHeight="1">
      <c r="D116" s="1">
        <v>18</v>
      </c>
      <c r="AB116" s="105" t="s">
        <v>1357</v>
      </c>
      <c r="AG116" s="1038"/>
      <c r="AH116" s="1038"/>
      <c r="AI116" s="1038"/>
      <c r="AJ116" s="1038"/>
      <c r="AK116" s="1038"/>
      <c r="AL116" s="1038"/>
      <c r="AM116" s="1038"/>
      <c r="AN116" s="1038"/>
      <c r="AO116" s="1038"/>
      <c r="AP116" s="1038"/>
      <c r="AQ116" s="1038"/>
    </row>
    <row r="117" spans="4:46" ht="11.25" customHeight="1">
      <c r="D117" s="1">
        <v>18</v>
      </c>
      <c r="AB117" s="105" t="s">
        <v>1358</v>
      </c>
      <c r="AG117" s="1038"/>
      <c r="AH117" s="1038"/>
      <c r="AI117" s="1038"/>
      <c r="AJ117" s="1038"/>
      <c r="AK117" s="1038"/>
      <c r="AL117" s="1038"/>
      <c r="AM117" s="1038"/>
      <c r="AN117" s="1038"/>
      <c r="AO117" s="1038"/>
      <c r="AP117" s="1038"/>
      <c r="AQ117" s="1038"/>
    </row>
    <row r="118" spans="4:46" ht="11.25" customHeight="1">
      <c r="D118" s="1">
        <v>18</v>
      </c>
      <c r="AB118" s="105" t="s">
        <v>1359</v>
      </c>
      <c r="AG118" s="1038"/>
      <c r="AH118" s="1038"/>
      <c r="AI118" s="1038"/>
      <c r="AJ118" s="1038"/>
      <c r="AK118" s="1038"/>
      <c r="AL118" s="1038"/>
      <c r="AM118" s="1038"/>
      <c r="AN118" s="1038"/>
      <c r="AO118" s="1038"/>
      <c r="AP118" s="1038"/>
      <c r="AQ118" s="1038"/>
    </row>
    <row r="119" spans="4:46" ht="11.25" customHeight="1">
      <c r="D119" s="1">
        <v>18</v>
      </c>
    </row>
    <row r="120" spans="4:46" ht="11.25" customHeight="1">
      <c r="D120" s="1">
        <v>18</v>
      </c>
      <c r="AB120" s="105" t="s">
        <v>1917</v>
      </c>
      <c r="AG120" s="1038"/>
      <c r="AH120" s="1038"/>
      <c r="AI120" s="1038"/>
      <c r="AJ120" s="1038"/>
      <c r="AK120" s="1038"/>
      <c r="AL120" s="1038"/>
      <c r="AM120" s="1038"/>
      <c r="AN120" s="1038"/>
      <c r="AO120" s="1038"/>
      <c r="AP120" s="1038"/>
      <c r="AQ120" s="1038"/>
    </row>
    <row r="121" spans="4:46" ht="11.25" customHeight="1">
      <c r="D121" s="1">
        <v>18</v>
      </c>
    </row>
    <row r="122" spans="4:46" ht="11.25" customHeight="1">
      <c r="D122" s="1">
        <v>18</v>
      </c>
      <c r="AB122" s="105">
        <v>0</v>
      </c>
      <c r="AG122" s="1038"/>
      <c r="AH122" s="1038"/>
      <c r="AI122" s="1038"/>
      <c r="AJ122" s="1038"/>
      <c r="AK122" s="1038"/>
      <c r="AL122" s="1038"/>
      <c r="AM122" s="1038"/>
      <c r="AN122" s="1038"/>
      <c r="AO122" s="1038"/>
      <c r="AP122" s="1038"/>
      <c r="AQ122" s="1038"/>
    </row>
    <row r="123" spans="4:46" ht="11.25" customHeight="1">
      <c r="D123" s="1">
        <v>18</v>
      </c>
    </row>
    <row r="124" spans="4:46" ht="23.25" customHeight="1">
      <c r="D124" s="1">
        <v>37</v>
      </c>
      <c r="AB124" s="829" t="s">
        <v>1681</v>
      </c>
      <c r="AC124" s="781"/>
      <c r="AD124" s="781"/>
      <c r="AE124" s="781"/>
      <c r="AF124" s="781"/>
      <c r="AG124" s="781"/>
      <c r="AH124" s="781"/>
      <c r="AI124" s="781"/>
      <c r="AJ124" s="781"/>
      <c r="AK124" s="781"/>
      <c r="AL124" s="781"/>
      <c r="AM124" s="781"/>
      <c r="AN124" s="781"/>
      <c r="AO124" s="781"/>
      <c r="AP124" s="781"/>
      <c r="AQ124" s="781"/>
      <c r="AR124" s="781"/>
      <c r="AS124" s="781"/>
      <c r="AT124" s="781"/>
    </row>
    <row r="125" spans="4:46" ht="11.25" customHeight="1">
      <c r="D125" s="1">
        <v>18</v>
      </c>
      <c r="AB125" s="105" t="s">
        <v>1682</v>
      </c>
      <c r="AH125" s="235"/>
      <c r="AI125" s="235"/>
      <c r="AJ125" s="235"/>
      <c r="AK125" s="235"/>
      <c r="AL125" s="235"/>
      <c r="AM125" s="235"/>
      <c r="AN125" s="235"/>
      <c r="AO125" s="235"/>
      <c r="AP125" s="235"/>
      <c r="AQ125" s="235"/>
    </row>
    <row r="126" spans="4:46" ht="24" customHeight="1">
      <c r="D126" s="1">
        <v>39</v>
      </c>
      <c r="AB126" s="105" t="s">
        <v>1361</v>
      </c>
      <c r="AG126" s="1046"/>
      <c r="AH126" s="1046"/>
      <c r="AI126" s="1046"/>
      <c r="AJ126" s="1046"/>
      <c r="AK126" s="1046"/>
      <c r="AL126" s="1046"/>
      <c r="AM126" s="1046"/>
      <c r="AN126" s="1046"/>
      <c r="AO126" s="1046"/>
      <c r="AP126" s="1046"/>
      <c r="AQ126" s="1046"/>
    </row>
    <row r="127" spans="4:46" ht="11.25" customHeight="1">
      <c r="D127" s="1">
        <v>18</v>
      </c>
    </row>
    <row r="128" spans="4:46" ht="11.25" customHeight="1">
      <c r="D128" s="1">
        <v>18</v>
      </c>
      <c r="AB128" s="105" t="s">
        <v>1683</v>
      </c>
    </row>
    <row r="129" spans="4:39" ht="11.25" customHeight="1">
      <c r="D129" s="1">
        <v>18</v>
      </c>
    </row>
    <row r="130" spans="4:39" ht="35.25" customHeight="1">
      <c r="D130" s="1">
        <v>56</v>
      </c>
      <c r="AB130" s="861" t="str">
        <f>ORG</f>
        <v>МУП "Горэлектросети"</v>
      </c>
      <c r="AC130" s="781"/>
      <c r="AD130" s="781"/>
    </row>
    <row r="131" spans="4:39" ht="23.25" customHeight="1">
      <c r="D131" s="1">
        <v>37</v>
      </c>
      <c r="AB131" s="113" t="s">
        <v>509</v>
      </c>
      <c r="AC131" s="1039" t="s">
        <v>526</v>
      </c>
      <c r="AD131" s="1039"/>
      <c r="AE131" s="1039"/>
      <c r="AF131" s="1039"/>
      <c r="AG131" s="1039"/>
      <c r="AH131" s="156" t="s">
        <v>609</v>
      </c>
      <c r="AI131" s="66">
        <v>2018</v>
      </c>
      <c r="AJ131" s="66">
        <v>2019</v>
      </c>
      <c r="AK131" s="66">
        <v>2020</v>
      </c>
      <c r="AL131" s="66" t="s">
        <v>1362</v>
      </c>
      <c r="AM131" s="66" t="s">
        <v>1363</v>
      </c>
    </row>
    <row r="132" spans="4:39" ht="11.25" customHeight="1">
      <c r="D132" s="1">
        <v>18</v>
      </c>
      <c r="AB132" s="355">
        <v>1</v>
      </c>
      <c r="AC132" s="1040" t="s">
        <v>1364</v>
      </c>
      <c r="AD132" s="1041"/>
      <c r="AE132" s="1041"/>
      <c r="AF132" s="1041"/>
      <c r="AG132" s="1042"/>
      <c r="AH132" s="356"/>
      <c r="AI132" s="357"/>
      <c r="AJ132" s="357"/>
      <c r="AK132" s="357"/>
      <c r="AL132" s="358"/>
      <c r="AM132" s="358"/>
    </row>
    <row r="133" spans="4:39" ht="23.25" customHeight="1">
      <c r="D133" s="1">
        <v>37</v>
      </c>
      <c r="AB133" s="141" t="s">
        <v>618</v>
      </c>
      <c r="AC133" s="1043" t="s">
        <v>1365</v>
      </c>
      <c r="AD133" s="1044"/>
      <c r="AE133" s="1044"/>
      <c r="AF133" s="1044"/>
      <c r="AG133" s="1045"/>
      <c r="AH133" s="142" t="s">
        <v>1035</v>
      </c>
      <c r="AI133" s="75"/>
      <c r="AJ133" s="75"/>
      <c r="AK133" s="75"/>
      <c r="AL133" s="134">
        <v>0</v>
      </c>
      <c r="AM133" s="134">
        <v>0</v>
      </c>
    </row>
    <row r="134" spans="4:39" ht="23.25" customHeight="1">
      <c r="D134" s="1">
        <v>37</v>
      </c>
      <c r="AB134" s="141" t="s">
        <v>622</v>
      </c>
      <c r="AC134" s="1043" t="s">
        <v>1366</v>
      </c>
      <c r="AD134" s="1044"/>
      <c r="AE134" s="1044"/>
      <c r="AF134" s="1044"/>
      <c r="AG134" s="1045"/>
      <c r="AH134" s="142" t="s">
        <v>1035</v>
      </c>
      <c r="AI134" s="75"/>
      <c r="AJ134" s="75"/>
      <c r="AK134" s="75"/>
      <c r="AL134" s="134">
        <v>0</v>
      </c>
      <c r="AM134" s="134">
        <v>0</v>
      </c>
    </row>
    <row r="135" spans="4:39" ht="11.25" customHeight="1">
      <c r="D135" s="1">
        <v>18</v>
      </c>
      <c r="AB135" s="47" t="s">
        <v>759</v>
      </c>
      <c r="AC135" s="1040" t="s">
        <v>1367</v>
      </c>
      <c r="AD135" s="1041"/>
      <c r="AE135" s="1041"/>
      <c r="AF135" s="1041"/>
      <c r="AG135" s="1042"/>
      <c r="AH135" s="64" t="s">
        <v>1035</v>
      </c>
      <c r="AI135" s="75"/>
      <c r="AJ135" s="75"/>
      <c r="AK135" s="75"/>
      <c r="AL135" s="78">
        <v>0</v>
      </c>
      <c r="AM135" s="78">
        <v>0</v>
      </c>
    </row>
    <row r="136" spans="4:39" ht="23.25" customHeight="1">
      <c r="D136" s="1">
        <v>37</v>
      </c>
      <c r="AB136" s="141" t="s">
        <v>625</v>
      </c>
      <c r="AC136" s="1043" t="s">
        <v>1368</v>
      </c>
      <c r="AD136" s="1044"/>
      <c r="AE136" s="1044"/>
      <c r="AF136" s="1044"/>
      <c r="AG136" s="1045"/>
      <c r="AH136" s="142" t="s">
        <v>1035</v>
      </c>
      <c r="AI136" s="75"/>
      <c r="AJ136" s="75"/>
      <c r="AK136" s="75"/>
      <c r="AL136" s="134">
        <v>0</v>
      </c>
      <c r="AM136" s="134">
        <v>0</v>
      </c>
    </row>
    <row r="137" spans="4:39" ht="23.25" customHeight="1">
      <c r="D137" s="1">
        <v>37</v>
      </c>
      <c r="AB137" s="141" t="s">
        <v>628</v>
      </c>
      <c r="AC137" s="1043" t="s">
        <v>1369</v>
      </c>
      <c r="AD137" s="1044"/>
      <c r="AE137" s="1044"/>
      <c r="AF137" s="1044"/>
      <c r="AG137" s="1045"/>
      <c r="AH137" s="142" t="s">
        <v>1035</v>
      </c>
      <c r="AI137" s="75"/>
      <c r="AJ137" s="75"/>
      <c r="AK137" s="75"/>
      <c r="AL137" s="134">
        <v>0</v>
      </c>
      <c r="AM137" s="134">
        <v>0</v>
      </c>
    </row>
    <row r="138" spans="4:39" ht="31.5" customHeight="1">
      <c r="D138" s="1">
        <v>52</v>
      </c>
      <c r="AB138" s="141" t="s">
        <v>902</v>
      </c>
      <c r="AC138" s="1043" t="s">
        <v>1370</v>
      </c>
      <c r="AD138" s="1044"/>
      <c r="AE138" s="1044"/>
      <c r="AF138" s="1044"/>
      <c r="AG138" s="1045"/>
      <c r="AH138" s="142" t="s">
        <v>1035</v>
      </c>
      <c r="AI138" s="75"/>
      <c r="AJ138" s="75"/>
      <c r="AK138" s="75"/>
      <c r="AL138" s="134">
        <v>0</v>
      </c>
      <c r="AM138" s="134">
        <v>0</v>
      </c>
    </row>
    <row r="139" spans="4:39" ht="22.5" customHeight="1">
      <c r="D139" s="1">
        <v>36</v>
      </c>
      <c r="AB139" s="47" t="s">
        <v>530</v>
      </c>
      <c r="AC139" s="1040" t="s">
        <v>1371</v>
      </c>
      <c r="AD139" s="1041"/>
      <c r="AE139" s="1041"/>
      <c r="AF139" s="1041"/>
      <c r="AG139" s="1042"/>
      <c r="AH139" s="64"/>
      <c r="AI139" s="357"/>
      <c r="AJ139" s="357"/>
      <c r="AK139" s="359"/>
      <c r="AL139" s="357"/>
      <c r="AM139" s="357"/>
    </row>
    <row r="140" spans="4:39" ht="23.25" customHeight="1">
      <c r="D140" s="1">
        <v>37</v>
      </c>
      <c r="AB140" s="141" t="s">
        <v>632</v>
      </c>
      <c r="AC140" s="1043" t="s">
        <v>1372</v>
      </c>
      <c r="AD140" s="1044"/>
      <c r="AE140" s="1044"/>
      <c r="AF140" s="1044"/>
      <c r="AG140" s="1045"/>
      <c r="AH140" s="142" t="s">
        <v>1035</v>
      </c>
      <c r="AI140" s="75"/>
      <c r="AJ140" s="75"/>
      <c r="AK140" s="75"/>
      <c r="AL140" s="134">
        <v>0</v>
      </c>
      <c r="AM140" s="134">
        <v>0</v>
      </c>
    </row>
    <row r="141" spans="4:39" ht="23.25" customHeight="1">
      <c r="D141" s="1">
        <v>37</v>
      </c>
      <c r="AB141" s="141" t="s">
        <v>762</v>
      </c>
      <c r="AC141" s="1043" t="s">
        <v>1373</v>
      </c>
      <c r="AD141" s="1044"/>
      <c r="AE141" s="1044"/>
      <c r="AF141" s="1044"/>
      <c r="AG141" s="1045"/>
      <c r="AH141" s="142" t="s">
        <v>1035</v>
      </c>
      <c r="AI141" s="75"/>
      <c r="AJ141" s="75"/>
      <c r="AK141" s="75"/>
      <c r="AL141" s="134">
        <v>0</v>
      </c>
      <c r="AM141" s="134">
        <v>0</v>
      </c>
    </row>
    <row r="142" spans="4:39" ht="11.25" customHeight="1">
      <c r="D142" s="1">
        <v>18</v>
      </c>
      <c r="AB142" s="47" t="s">
        <v>532</v>
      </c>
      <c r="AC142" s="1040" t="s">
        <v>1374</v>
      </c>
      <c r="AD142" s="1041"/>
      <c r="AE142" s="1041"/>
      <c r="AF142" s="1041"/>
      <c r="AG142" s="1042"/>
      <c r="AH142" s="64"/>
      <c r="AI142" s="357"/>
      <c r="AJ142" s="357"/>
      <c r="AK142" s="359"/>
      <c r="AL142" s="357"/>
      <c r="AM142" s="357"/>
    </row>
    <row r="143" spans="4:39" ht="11.25" customHeight="1">
      <c r="D143" s="1">
        <v>18</v>
      </c>
      <c r="AB143" s="141" t="s">
        <v>637</v>
      </c>
      <c r="AC143" s="1043" t="s">
        <v>616</v>
      </c>
      <c r="AD143" s="1044"/>
      <c r="AE143" s="1044"/>
      <c r="AF143" s="1044"/>
      <c r="AG143" s="1045"/>
      <c r="AH143" s="142" t="s">
        <v>1035</v>
      </c>
      <c r="AI143" s="75"/>
      <c r="AJ143" s="75"/>
      <c r="AK143" s="75"/>
      <c r="AL143" s="134">
        <v>0</v>
      </c>
      <c r="AM143" s="134">
        <v>0</v>
      </c>
    </row>
    <row r="144" spans="4:39" ht="11.25" customHeight="1">
      <c r="D144" s="1">
        <v>18</v>
      </c>
      <c r="AB144" s="47" t="s">
        <v>988</v>
      </c>
      <c r="AC144" s="1040" t="s">
        <v>1375</v>
      </c>
      <c r="AD144" s="1041"/>
      <c r="AE144" s="1041"/>
      <c r="AF144" s="1041"/>
      <c r="AG144" s="1042"/>
      <c r="AH144" s="64" t="s">
        <v>1035</v>
      </c>
      <c r="AI144" s="75"/>
      <c r="AJ144" s="75"/>
      <c r="AK144" s="75"/>
      <c r="AL144" s="78">
        <v>0</v>
      </c>
      <c r="AM144" s="78">
        <v>0</v>
      </c>
    </row>
    <row r="145" spans="4:39" ht="11.25" customHeight="1">
      <c r="D145" s="1">
        <v>18</v>
      </c>
      <c r="AB145" s="141" t="s">
        <v>642</v>
      </c>
      <c r="AC145" s="1043" t="s">
        <v>1376</v>
      </c>
      <c r="AD145" s="1044"/>
      <c r="AE145" s="1044"/>
      <c r="AF145" s="1044"/>
      <c r="AG145" s="1045"/>
      <c r="AH145" s="142" t="s">
        <v>1035</v>
      </c>
      <c r="AI145" s="75"/>
      <c r="AJ145" s="75"/>
      <c r="AK145" s="75"/>
      <c r="AL145" s="134">
        <v>0</v>
      </c>
      <c r="AM145" s="134">
        <v>0</v>
      </c>
    </row>
    <row r="146" spans="4:39" ht="11.25" customHeight="1">
      <c r="D146" s="1">
        <v>18</v>
      </c>
      <c r="AB146" s="47" t="s">
        <v>940</v>
      </c>
      <c r="AC146" s="1040" t="s">
        <v>1375</v>
      </c>
      <c r="AD146" s="1041"/>
      <c r="AE146" s="1041"/>
      <c r="AF146" s="1041"/>
      <c r="AG146" s="1042"/>
      <c r="AH146" s="64" t="s">
        <v>1035</v>
      </c>
      <c r="AI146" s="75"/>
      <c r="AJ146" s="75"/>
      <c r="AK146" s="75"/>
      <c r="AL146" s="78">
        <v>0</v>
      </c>
      <c r="AM146" s="78">
        <v>0</v>
      </c>
    </row>
    <row r="147" spans="4:39" ht="11.25" customHeight="1">
      <c r="D147" s="1">
        <v>18</v>
      </c>
      <c r="AB147" s="141" t="s">
        <v>647</v>
      </c>
      <c r="AC147" s="1043" t="s">
        <v>1377</v>
      </c>
      <c r="AD147" s="1044"/>
      <c r="AE147" s="1044"/>
      <c r="AF147" s="1044"/>
      <c r="AG147" s="1045"/>
      <c r="AH147" s="142" t="s">
        <v>1035</v>
      </c>
      <c r="AI147" s="75"/>
      <c r="AJ147" s="75"/>
      <c r="AK147" s="75"/>
      <c r="AL147" s="134">
        <v>0</v>
      </c>
      <c r="AM147" s="134">
        <v>0</v>
      </c>
    </row>
    <row r="148" spans="4:39" ht="11.25" customHeight="1">
      <c r="D148" s="1">
        <v>18</v>
      </c>
      <c r="AB148" s="47" t="s">
        <v>994</v>
      </c>
      <c r="AC148" s="1040" t="s">
        <v>1375</v>
      </c>
      <c r="AD148" s="1041"/>
      <c r="AE148" s="1041"/>
      <c r="AF148" s="1041"/>
      <c r="AG148" s="1042"/>
      <c r="AH148" s="64" t="s">
        <v>1035</v>
      </c>
      <c r="AI148" s="75"/>
      <c r="AJ148" s="75"/>
      <c r="AK148" s="75"/>
      <c r="AL148" s="78">
        <v>0</v>
      </c>
      <c r="AM148" s="78">
        <v>0</v>
      </c>
    </row>
    <row r="149" spans="4:39" ht="11.25" customHeight="1">
      <c r="D149" s="1">
        <v>18</v>
      </c>
      <c r="AB149" s="141" t="s">
        <v>652</v>
      </c>
      <c r="AC149" s="1043" t="s">
        <v>1378</v>
      </c>
      <c r="AD149" s="1044"/>
      <c r="AE149" s="1044"/>
      <c r="AF149" s="1044"/>
      <c r="AG149" s="1045"/>
      <c r="AH149" s="142" t="s">
        <v>1035</v>
      </c>
      <c r="AI149" s="75"/>
      <c r="AJ149" s="75"/>
      <c r="AK149" s="75"/>
      <c r="AL149" s="134">
        <v>0</v>
      </c>
      <c r="AM149" s="134">
        <v>0</v>
      </c>
    </row>
    <row r="150" spans="4:39" ht="11.25" customHeight="1">
      <c r="D150" s="1">
        <v>18</v>
      </c>
      <c r="AB150" s="47" t="s">
        <v>995</v>
      </c>
      <c r="AC150" s="1040" t="s">
        <v>1375</v>
      </c>
      <c r="AD150" s="1041"/>
      <c r="AE150" s="1041"/>
      <c r="AF150" s="1041"/>
      <c r="AG150" s="1042"/>
      <c r="AH150" s="64" t="s">
        <v>1035</v>
      </c>
      <c r="AI150" s="75"/>
      <c r="AJ150" s="75"/>
      <c r="AK150" s="75"/>
      <c r="AL150" s="78">
        <v>0</v>
      </c>
      <c r="AM150" s="78">
        <v>0</v>
      </c>
    </row>
    <row r="151" spans="4:39" ht="23.25" customHeight="1">
      <c r="D151" s="1">
        <v>37</v>
      </c>
      <c r="AB151" s="141" t="s">
        <v>656</v>
      </c>
      <c r="AC151" s="1043" t="s">
        <v>621</v>
      </c>
      <c r="AD151" s="1044"/>
      <c r="AE151" s="1044"/>
      <c r="AF151" s="1044"/>
      <c r="AG151" s="1045"/>
      <c r="AH151" s="142" t="s">
        <v>1035</v>
      </c>
      <c r="AI151" s="75"/>
      <c r="AJ151" s="75"/>
      <c r="AK151" s="75"/>
      <c r="AL151" s="134">
        <v>0</v>
      </c>
      <c r="AM151" s="134">
        <v>0</v>
      </c>
    </row>
    <row r="152" spans="4:39" ht="11.25" customHeight="1">
      <c r="D152" s="1">
        <v>18</v>
      </c>
      <c r="AB152" s="47" t="s">
        <v>1379</v>
      </c>
      <c r="AC152" s="1040" t="s">
        <v>1375</v>
      </c>
      <c r="AD152" s="1041"/>
      <c r="AE152" s="1041"/>
      <c r="AF152" s="1041"/>
      <c r="AG152" s="1042"/>
      <c r="AH152" s="64" t="s">
        <v>1035</v>
      </c>
      <c r="AI152" s="75"/>
      <c r="AJ152" s="75"/>
      <c r="AK152" s="75"/>
      <c r="AL152" s="78">
        <v>0</v>
      </c>
      <c r="AM152" s="78">
        <v>0</v>
      </c>
    </row>
    <row r="153" spans="4:39" ht="11.25" customHeight="1">
      <c r="D153" s="1">
        <v>18</v>
      </c>
      <c r="AB153" s="141" t="s">
        <v>912</v>
      </c>
      <c r="AC153" s="1043" t="s">
        <v>1380</v>
      </c>
      <c r="AD153" s="1044"/>
      <c r="AE153" s="1044"/>
      <c r="AF153" s="1044"/>
      <c r="AG153" s="1045"/>
      <c r="AH153" s="142" t="s">
        <v>1035</v>
      </c>
      <c r="AI153" s="75"/>
      <c r="AJ153" s="75"/>
      <c r="AK153" s="75"/>
      <c r="AL153" s="134">
        <v>0</v>
      </c>
      <c r="AM153" s="134">
        <v>0</v>
      </c>
    </row>
    <row r="154" spans="4:39" ht="11.25" customHeight="1">
      <c r="D154" s="1">
        <v>18</v>
      </c>
      <c r="AB154" s="47" t="s">
        <v>997</v>
      </c>
      <c r="AC154" s="1040" t="s">
        <v>1375</v>
      </c>
      <c r="AD154" s="1041"/>
      <c r="AE154" s="1041"/>
      <c r="AF154" s="1041"/>
      <c r="AG154" s="1042"/>
      <c r="AH154" s="64" t="s">
        <v>1035</v>
      </c>
      <c r="AI154" s="75"/>
      <c r="AJ154" s="75"/>
      <c r="AK154" s="75"/>
      <c r="AL154" s="78">
        <v>0</v>
      </c>
      <c r="AM154" s="78">
        <v>0</v>
      </c>
    </row>
    <row r="155" spans="4:39" ht="11.25" customHeight="1">
      <c r="D155" s="1">
        <v>18</v>
      </c>
      <c r="AB155" s="141" t="s">
        <v>913</v>
      </c>
      <c r="AC155" s="1043" t="s">
        <v>1381</v>
      </c>
      <c r="AD155" s="1044"/>
      <c r="AE155" s="1044"/>
      <c r="AF155" s="1044"/>
      <c r="AG155" s="1045"/>
      <c r="AH155" s="142" t="s">
        <v>1035</v>
      </c>
      <c r="AI155" s="75"/>
      <c r="AJ155" s="75"/>
      <c r="AK155" s="75"/>
      <c r="AL155" s="134">
        <v>0</v>
      </c>
      <c r="AM155" s="134">
        <v>0</v>
      </c>
    </row>
    <row r="156" spans="4:39" ht="11.25" customHeight="1">
      <c r="D156" s="1">
        <v>18</v>
      </c>
      <c r="AB156" s="47" t="s">
        <v>1382</v>
      </c>
      <c r="AC156" s="1040" t="s">
        <v>1375</v>
      </c>
      <c r="AD156" s="1041"/>
      <c r="AE156" s="1041"/>
      <c r="AF156" s="1041"/>
      <c r="AG156" s="1042"/>
      <c r="AH156" s="64" t="s">
        <v>1035</v>
      </c>
      <c r="AI156" s="75"/>
      <c r="AJ156" s="75"/>
      <c r="AK156" s="75"/>
      <c r="AL156" s="78">
        <v>0</v>
      </c>
      <c r="AM156" s="78">
        <v>0</v>
      </c>
    </row>
    <row r="157" spans="4:39" ht="23.25" customHeight="1">
      <c r="D157" s="1">
        <v>37</v>
      </c>
      <c r="AB157" s="141" t="s">
        <v>914</v>
      </c>
      <c r="AC157" s="1043" t="s">
        <v>1383</v>
      </c>
      <c r="AD157" s="1044"/>
      <c r="AE157" s="1044"/>
      <c r="AF157" s="1044"/>
      <c r="AG157" s="1045"/>
      <c r="AH157" s="142" t="s">
        <v>1035</v>
      </c>
      <c r="AI157" s="75"/>
      <c r="AJ157" s="75"/>
      <c r="AK157" s="75"/>
      <c r="AL157" s="134">
        <v>0</v>
      </c>
      <c r="AM157" s="134">
        <v>0</v>
      </c>
    </row>
    <row r="158" spans="4:39" ht="11.25" customHeight="1">
      <c r="D158" s="1">
        <v>18</v>
      </c>
      <c r="AB158" s="47" t="s">
        <v>1384</v>
      </c>
      <c r="AC158" s="1040" t="s">
        <v>1375</v>
      </c>
      <c r="AD158" s="1041"/>
      <c r="AE158" s="1041"/>
      <c r="AF158" s="1041"/>
      <c r="AG158" s="1042"/>
      <c r="AH158" s="64" t="s">
        <v>1035</v>
      </c>
      <c r="AI158" s="75"/>
      <c r="AJ158" s="75"/>
      <c r="AK158" s="75"/>
      <c r="AL158" s="78">
        <v>0</v>
      </c>
      <c r="AM158" s="78">
        <v>0</v>
      </c>
    </row>
    <row r="159" spans="4:39" ht="11.25" customHeight="1">
      <c r="D159" s="1">
        <v>18</v>
      </c>
      <c r="AB159" s="141" t="s">
        <v>915</v>
      </c>
      <c r="AC159" s="1043" t="s">
        <v>1385</v>
      </c>
      <c r="AD159" s="1044"/>
      <c r="AE159" s="1044"/>
      <c r="AF159" s="1044"/>
      <c r="AG159" s="1045"/>
      <c r="AH159" s="142" t="s">
        <v>1035</v>
      </c>
      <c r="AI159" s="134">
        <v>0</v>
      </c>
      <c r="AJ159" s="134">
        <v>0</v>
      </c>
      <c r="AK159" s="169">
        <v>0</v>
      </c>
      <c r="AL159" s="134">
        <v>0</v>
      </c>
      <c r="AM159" s="134">
        <v>0</v>
      </c>
    </row>
    <row r="160" spans="4:39" ht="11.25" customHeight="1">
      <c r="D160" s="1">
        <v>18</v>
      </c>
      <c r="AB160" s="47" t="s">
        <v>1386</v>
      </c>
      <c r="AC160" s="1040" t="s">
        <v>1375</v>
      </c>
      <c r="AD160" s="1041"/>
      <c r="AE160" s="1041"/>
      <c r="AF160" s="1041"/>
      <c r="AG160" s="1042"/>
      <c r="AH160" s="64" t="s">
        <v>1035</v>
      </c>
      <c r="AI160" s="75"/>
      <c r="AJ160" s="75"/>
      <c r="AK160" s="75"/>
      <c r="AL160" s="78">
        <v>0</v>
      </c>
      <c r="AM160" s="78">
        <v>0</v>
      </c>
    </row>
    <row r="161" spans="4:46" ht="11.25" customHeight="1">
      <c r="D161" s="1">
        <v>18</v>
      </c>
      <c r="AB161" s="141" t="s">
        <v>1001</v>
      </c>
      <c r="AC161" s="1043" t="s">
        <v>1387</v>
      </c>
      <c r="AD161" s="1044"/>
      <c r="AE161" s="1044"/>
      <c r="AF161" s="1044"/>
      <c r="AG161" s="1045"/>
      <c r="AH161" s="142" t="s">
        <v>1035</v>
      </c>
      <c r="AI161" s="75"/>
      <c r="AJ161" s="75"/>
      <c r="AK161" s="75"/>
      <c r="AL161" s="134">
        <v>0</v>
      </c>
      <c r="AM161" s="134">
        <v>0</v>
      </c>
    </row>
    <row r="162" spans="4:46" ht="11.25" customHeight="1">
      <c r="D162" s="1">
        <v>18</v>
      </c>
      <c r="AB162" s="47" t="s">
        <v>1388</v>
      </c>
      <c r="AC162" s="1040" t="s">
        <v>1375</v>
      </c>
      <c r="AD162" s="1041"/>
      <c r="AE162" s="1041"/>
      <c r="AF162" s="1041"/>
      <c r="AG162" s="1042"/>
      <c r="AH162" s="64" t="s">
        <v>1035</v>
      </c>
      <c r="AI162" s="75"/>
      <c r="AJ162" s="75"/>
      <c r="AK162" s="75"/>
      <c r="AL162" s="78">
        <v>0</v>
      </c>
      <c r="AM162" s="78">
        <v>0</v>
      </c>
    </row>
    <row r="163" spans="4:46" ht="11.25" customHeight="1">
      <c r="D163" s="1">
        <v>18</v>
      </c>
      <c r="AB163" s="47" t="s">
        <v>534</v>
      </c>
      <c r="AC163" s="1040" t="s">
        <v>1389</v>
      </c>
      <c r="AD163" s="1041"/>
      <c r="AE163" s="1041"/>
      <c r="AF163" s="1041"/>
      <c r="AG163" s="1042"/>
      <c r="AH163" s="64"/>
      <c r="AI163" s="64"/>
      <c r="AJ163" s="64"/>
      <c r="AK163" s="113"/>
      <c r="AL163" s="64"/>
      <c r="AM163" s="64"/>
    </row>
    <row r="164" spans="4:46" ht="11.25" customHeight="1">
      <c r="D164" s="1">
        <v>18</v>
      </c>
      <c r="AB164" s="141" t="s">
        <v>665</v>
      </c>
      <c r="AC164" s="1043" t="s">
        <v>1390</v>
      </c>
      <c r="AD164" s="1044"/>
      <c r="AE164" s="1044"/>
      <c r="AF164" s="1044"/>
      <c r="AG164" s="1045"/>
      <c r="AH164" s="142" t="s">
        <v>633</v>
      </c>
      <c r="AI164" s="360">
        <v>0</v>
      </c>
      <c r="AJ164" s="360">
        <v>0</v>
      </c>
      <c r="AK164" s="361">
        <v>0</v>
      </c>
      <c r="AL164" s="134">
        <v>0</v>
      </c>
      <c r="AM164" s="134">
        <v>0</v>
      </c>
    </row>
    <row r="165" spans="4:46" ht="11.25" customHeight="1">
      <c r="D165" s="1">
        <v>18</v>
      </c>
      <c r="AB165" s="141" t="s">
        <v>679</v>
      </c>
      <c r="AC165" s="1043" t="s">
        <v>1391</v>
      </c>
      <c r="AD165" s="1044"/>
      <c r="AE165" s="1044"/>
      <c r="AF165" s="1044"/>
      <c r="AG165" s="1045"/>
      <c r="AH165" s="142" t="s">
        <v>777</v>
      </c>
      <c r="AI165" s="134">
        <v>0</v>
      </c>
      <c r="AJ165" s="134">
        <v>0</v>
      </c>
      <c r="AK165" s="169">
        <v>0</v>
      </c>
      <c r="AL165" s="134">
        <v>0</v>
      </c>
      <c r="AM165" s="134">
        <v>0</v>
      </c>
    </row>
    <row r="166" spans="4:46" ht="23.25" customHeight="1">
      <c r="D166" s="1">
        <v>37</v>
      </c>
      <c r="AB166" s="141" t="s">
        <v>683</v>
      </c>
      <c r="AC166" s="1043" t="s">
        <v>1392</v>
      </c>
      <c r="AD166" s="1044"/>
      <c r="AE166" s="1044"/>
      <c r="AF166" s="1044"/>
      <c r="AG166" s="1045"/>
      <c r="AH166" s="142" t="s">
        <v>1035</v>
      </c>
      <c r="AI166" s="134">
        <v>0</v>
      </c>
      <c r="AJ166" s="134">
        <v>0</v>
      </c>
      <c r="AK166" s="169">
        <v>0</v>
      </c>
      <c r="AL166" s="134">
        <v>0</v>
      </c>
      <c r="AM166" s="134">
        <v>0</v>
      </c>
    </row>
    <row r="167" spans="4:46" ht="11.25" customHeight="1">
      <c r="D167" s="1">
        <v>18</v>
      </c>
      <c r="AB167" s="141" t="s">
        <v>686</v>
      </c>
      <c r="AC167" s="1043" t="s">
        <v>1393</v>
      </c>
      <c r="AD167" s="1044"/>
      <c r="AE167" s="1044"/>
      <c r="AF167" s="1044"/>
      <c r="AG167" s="1045"/>
      <c r="AH167" s="142" t="s">
        <v>633</v>
      </c>
      <c r="AI167" s="191">
        <v>0</v>
      </c>
      <c r="AJ167" s="191">
        <v>0</v>
      </c>
      <c r="AK167" s="362">
        <v>0</v>
      </c>
      <c r="AL167" s="134">
        <v>0</v>
      </c>
      <c r="AM167" s="134">
        <v>0</v>
      </c>
    </row>
    <row r="168" spans="4:46" ht="11.25" customHeight="1">
      <c r="D168" s="1">
        <v>18</v>
      </c>
    </row>
    <row r="169" spans="4:46" ht="26.25" customHeight="1">
      <c r="D169" s="1">
        <v>42</v>
      </c>
      <c r="AB169" s="829" t="s">
        <v>1684</v>
      </c>
      <c r="AC169" s="781"/>
      <c r="AD169" s="781"/>
      <c r="AE169" s="781"/>
      <c r="AF169" s="781"/>
      <c r="AG169" s="781"/>
      <c r="AH169" s="781"/>
      <c r="AI169" s="781"/>
      <c r="AJ169" s="781"/>
      <c r="AK169" s="781"/>
      <c r="AL169" s="363"/>
    </row>
    <row r="170" spans="4:46" ht="13.5" customHeight="1">
      <c r="D170" s="1">
        <v>23</v>
      </c>
      <c r="AB170" s="4" t="s">
        <v>1394</v>
      </c>
      <c r="AL170" s="363"/>
    </row>
    <row r="171" spans="4:46" ht="13.5" customHeight="1">
      <c r="D171" s="1">
        <v>23</v>
      </c>
    </row>
    <row r="172" spans="4:46" ht="14.25" customHeight="1">
      <c r="D172" s="1">
        <v>23</v>
      </c>
      <c r="AB172" s="829" t="s">
        <v>1685</v>
      </c>
      <c r="AC172" s="781"/>
      <c r="AD172" s="781"/>
      <c r="AE172" s="781"/>
      <c r="AF172" s="781"/>
      <c r="AG172" s="781"/>
      <c r="AH172" s="781"/>
      <c r="AI172" s="781"/>
      <c r="AJ172" s="781"/>
      <c r="AK172" s="781"/>
      <c r="AL172" s="781"/>
      <c r="AM172" s="781"/>
      <c r="AN172" s="781"/>
      <c r="AO172" s="781"/>
      <c r="AP172" s="781"/>
      <c r="AQ172" s="781"/>
      <c r="AR172" s="781"/>
      <c r="AS172" s="781"/>
      <c r="AT172" s="781"/>
    </row>
    <row r="173" spans="4:46" ht="13.5" customHeight="1">
      <c r="D173" s="1">
        <v>23</v>
      </c>
      <c r="AB173" s="4" t="s">
        <v>1396</v>
      </c>
      <c r="AL173" s="363"/>
    </row>
    <row r="174" spans="4:46" ht="13.5" customHeight="1">
      <c r="D174" s="1">
        <v>23</v>
      </c>
      <c r="AB174" s="4" t="s">
        <v>1397</v>
      </c>
      <c r="AL174" s="363"/>
    </row>
    <row r="175" spans="4:46" ht="13.5" customHeight="1">
      <c r="D175" s="1">
        <v>23</v>
      </c>
      <c r="AB175" s="29" t="s">
        <v>1686</v>
      </c>
      <c r="AL175" s="78">
        <v>0</v>
      </c>
      <c r="AM175" s="364">
        <v>0</v>
      </c>
    </row>
    <row r="176" spans="4:46" ht="13.5" customHeight="1">
      <c r="D176" s="1">
        <v>23</v>
      </c>
    </row>
    <row r="177" spans="4:46" ht="13.5" customHeight="1">
      <c r="D177" s="1">
        <v>23</v>
      </c>
      <c r="AB177" s="4" t="s">
        <v>1687</v>
      </c>
      <c r="AL177" s="363"/>
    </row>
    <row r="178" spans="4:46" ht="13.5" customHeight="1">
      <c r="D178" s="1">
        <v>23</v>
      </c>
      <c r="AB178" s="4" t="s">
        <v>1399</v>
      </c>
      <c r="AL178" s="363"/>
    </row>
    <row r="179" spans="4:46" ht="23.25" customHeight="1">
      <c r="D179" s="1">
        <v>37</v>
      </c>
      <c r="AB179" s="829" t="s">
        <v>1688</v>
      </c>
      <c r="AC179" s="781"/>
      <c r="AD179" s="781"/>
      <c r="AE179" s="781"/>
      <c r="AF179" s="781"/>
      <c r="AG179" s="781"/>
      <c r="AH179" s="781"/>
      <c r="AI179" s="781"/>
      <c r="AJ179" s="781"/>
      <c r="AK179" s="781"/>
      <c r="AL179" s="781"/>
      <c r="AM179" s="781"/>
      <c r="AN179" s="781"/>
      <c r="AO179" s="781"/>
      <c r="AP179" s="781"/>
      <c r="AQ179" s="781"/>
      <c r="AR179" s="781"/>
      <c r="AS179" s="781"/>
      <c r="AT179" s="781"/>
    </row>
    <row r="180" spans="4:46" ht="13.5" customHeight="1">
      <c r="D180" s="1">
        <v>23</v>
      </c>
      <c r="AB180" s="29" t="s">
        <v>1689</v>
      </c>
      <c r="AL180" s="363"/>
    </row>
    <row r="181" spans="4:46" ht="13.5" customHeight="1">
      <c r="D181" s="1">
        <v>23</v>
      </c>
      <c r="AB181" s="29" t="s">
        <v>1690</v>
      </c>
      <c r="AL181" s="363"/>
    </row>
    <row r="182" spans="4:46" ht="14.25" customHeight="1">
      <c r="D182" s="1">
        <v>23</v>
      </c>
      <c r="AB182" s="29" t="s">
        <v>1400</v>
      </c>
    </row>
    <row r="183" spans="4:46" ht="14.25" customHeight="1">
      <c r="D183" s="1">
        <v>23</v>
      </c>
      <c r="AB183" s="29" t="s">
        <v>1401</v>
      </c>
      <c r="AI183" s="363"/>
      <c r="AJ183" s="109" t="s">
        <v>1402</v>
      </c>
      <c r="AK183" s="128">
        <v>0</v>
      </c>
      <c r="AL183" s="1047" t="s">
        <v>1403</v>
      </c>
      <c r="AM183" s="781"/>
    </row>
    <row r="184" spans="4:46" ht="14.25" customHeight="1">
      <c r="D184" s="1">
        <v>23</v>
      </c>
      <c r="AB184" s="29" t="s">
        <v>1691</v>
      </c>
      <c r="AI184" s="363"/>
    </row>
    <row r="185" spans="4:46" ht="14.25" customHeight="1">
      <c r="D185" s="1">
        <v>23</v>
      </c>
      <c r="AB185" s="29" t="s">
        <v>1690</v>
      </c>
      <c r="AI185" s="363"/>
      <c r="AK185" s="128">
        <v>0</v>
      </c>
    </row>
    <row r="186" spans="4:46" ht="14.25" customHeight="1">
      <c r="D186" s="1">
        <v>23</v>
      </c>
      <c r="AB186" s="29" t="s">
        <v>1692</v>
      </c>
    </row>
    <row r="187" spans="4:46" ht="13.5" customHeight="1">
      <c r="D187" s="1">
        <v>23</v>
      </c>
      <c r="AB187" s="29" t="s">
        <v>1405</v>
      </c>
      <c r="AI187" s="363"/>
      <c r="AJ187" s="109" t="s">
        <v>1402</v>
      </c>
      <c r="AK187" s="128">
        <v>0</v>
      </c>
      <c r="AL187" s="1047" t="s">
        <v>1403</v>
      </c>
      <c r="AM187" s="781"/>
    </row>
    <row r="188" spans="4:46" ht="13.5" customHeight="1">
      <c r="D188" s="1">
        <v>23</v>
      </c>
      <c r="AB188" s="29" t="s">
        <v>1406</v>
      </c>
      <c r="AI188" s="363"/>
      <c r="AJ188" s="109" t="s">
        <v>1402</v>
      </c>
      <c r="AK188" s="128">
        <v>0</v>
      </c>
      <c r="AL188" s="1047" t="s">
        <v>1403</v>
      </c>
      <c r="AM188" s="781"/>
    </row>
    <row r="189" spans="4:46" ht="13.5" customHeight="1">
      <c r="D189" s="1">
        <v>23</v>
      </c>
      <c r="AB189" s="29" t="s">
        <v>1407</v>
      </c>
      <c r="AI189" s="363"/>
      <c r="AJ189" s="109" t="s">
        <v>1402</v>
      </c>
      <c r="AK189" s="128">
        <v>0</v>
      </c>
      <c r="AL189" s="1047" t="s">
        <v>1403</v>
      </c>
      <c r="AM189" s="781"/>
    </row>
    <row r="190" spans="4:46" ht="23.25" customHeight="1">
      <c r="D190" s="1">
        <v>37</v>
      </c>
      <c r="AB190" s="829" t="s">
        <v>1693</v>
      </c>
      <c r="AC190" s="781"/>
      <c r="AD190" s="781"/>
      <c r="AE190" s="781"/>
      <c r="AF190" s="781"/>
      <c r="AG190" s="781"/>
      <c r="AH190" s="781"/>
      <c r="AI190" s="781"/>
      <c r="AJ190" s="781"/>
      <c r="AK190" s="781"/>
      <c r="AL190" s="781"/>
      <c r="AM190" s="781"/>
      <c r="AN190" s="781"/>
      <c r="AO190" s="781"/>
      <c r="AP190" s="781"/>
      <c r="AQ190" s="781"/>
      <c r="AR190" s="781"/>
      <c r="AS190" s="781"/>
      <c r="AT190" s="781"/>
    </row>
    <row r="191" spans="4:46" ht="13.5" customHeight="1">
      <c r="D191" s="1">
        <v>23</v>
      </c>
      <c r="AB191" s="29" t="s">
        <v>1408</v>
      </c>
      <c r="AI191" s="363"/>
      <c r="AJ191" s="109" t="s">
        <v>1402</v>
      </c>
      <c r="AK191" s="128">
        <v>0</v>
      </c>
      <c r="AL191" s="1047" t="s">
        <v>1403</v>
      </c>
      <c r="AM191" s="781"/>
    </row>
    <row r="192" spans="4:46" ht="13.5" customHeight="1">
      <c r="D192" s="1">
        <v>23</v>
      </c>
      <c r="AB192" s="29" t="s">
        <v>1409</v>
      </c>
      <c r="AI192" s="363"/>
      <c r="AJ192" s="109" t="s">
        <v>1402</v>
      </c>
      <c r="AK192" s="128">
        <v>0</v>
      </c>
      <c r="AL192" s="1047" t="s">
        <v>1403</v>
      </c>
      <c r="AM192" s="781"/>
    </row>
    <row r="193" spans="4:46" ht="13.5" customHeight="1">
      <c r="D193" s="1">
        <v>23</v>
      </c>
      <c r="AB193" s="29" t="s">
        <v>1695</v>
      </c>
      <c r="AI193" s="363"/>
      <c r="AJ193" s="109" t="s">
        <v>1402</v>
      </c>
      <c r="AK193" s="128">
        <v>0</v>
      </c>
      <c r="AL193" s="1047" t="s">
        <v>1403</v>
      </c>
      <c r="AM193" s="781"/>
    </row>
    <row r="194" spans="4:46" ht="24.75" customHeight="1">
      <c r="D194" s="1">
        <v>40</v>
      </c>
      <c r="AB194" s="829" t="s">
        <v>1696</v>
      </c>
      <c r="AC194" s="781"/>
      <c r="AD194" s="781"/>
      <c r="AE194" s="781"/>
      <c r="AF194" s="781"/>
      <c r="AG194" s="781"/>
      <c r="AH194" s="781"/>
      <c r="AI194" s="781"/>
      <c r="AJ194" s="781"/>
      <c r="AK194" s="781"/>
      <c r="AL194" s="781"/>
      <c r="AM194" s="781"/>
      <c r="AN194" s="781"/>
      <c r="AO194" s="781"/>
      <c r="AP194" s="781"/>
      <c r="AQ194" s="781"/>
      <c r="AR194" s="781"/>
      <c r="AS194" s="781"/>
      <c r="AT194" s="781"/>
    </row>
    <row r="195" spans="4:46" ht="15" customHeight="1">
      <c r="D195" s="1">
        <v>24</v>
      </c>
      <c r="AB195" s="1048" t="s">
        <v>1697</v>
      </c>
      <c r="AC195" s="781"/>
      <c r="AD195" s="781"/>
      <c r="AE195" s="781"/>
      <c r="AF195" s="781"/>
      <c r="AG195" s="781"/>
      <c r="AH195" s="781"/>
      <c r="AI195" s="781"/>
      <c r="AJ195" s="363"/>
      <c r="AK195" s="109" t="s">
        <v>1411</v>
      </c>
      <c r="AL195" s="365">
        <v>-2</v>
      </c>
      <c r="AM195" s="1047" t="s">
        <v>1698</v>
      </c>
      <c r="AN195" s="781"/>
    </row>
    <row r="196" spans="4:46" ht="23.25" customHeight="1">
      <c r="D196" s="1">
        <v>37</v>
      </c>
      <c r="AB196" s="829" t="s">
        <v>1699</v>
      </c>
      <c r="AC196" s="781"/>
      <c r="AD196" s="781"/>
      <c r="AE196" s="781"/>
      <c r="AF196" s="781"/>
      <c r="AG196" s="781"/>
      <c r="AH196" s="781"/>
      <c r="AI196" s="781"/>
      <c r="AJ196" s="781"/>
      <c r="AK196" s="781"/>
      <c r="AL196" s="781"/>
      <c r="AM196" s="781"/>
      <c r="AN196" s="781"/>
      <c r="AO196" s="781"/>
      <c r="AP196" s="781"/>
      <c r="AQ196" s="781"/>
      <c r="AR196" s="781"/>
      <c r="AS196" s="781"/>
      <c r="AT196" s="781"/>
    </row>
    <row r="197" spans="4:46" ht="23.25" customHeight="1">
      <c r="D197" s="1">
        <v>37</v>
      </c>
      <c r="AB197" s="829" t="s">
        <v>1700</v>
      </c>
      <c r="AC197" s="781"/>
      <c r="AD197" s="781"/>
      <c r="AE197" s="781"/>
      <c r="AF197" s="781"/>
      <c r="AG197" s="781"/>
      <c r="AH197" s="781"/>
      <c r="AI197" s="781"/>
      <c r="AJ197" s="781"/>
      <c r="AK197" s="781"/>
      <c r="AL197" s="781"/>
      <c r="AM197" s="781"/>
      <c r="AN197" s="781"/>
      <c r="AO197" s="781"/>
      <c r="AP197" s="781"/>
      <c r="AQ197" s="781"/>
      <c r="AR197" s="781"/>
      <c r="AS197" s="781"/>
      <c r="AT197" s="781"/>
    </row>
    <row r="198" spans="4:46" ht="20.25" customHeight="1">
      <c r="D198" s="1">
        <v>32</v>
      </c>
      <c r="AB198" s="1030" t="s">
        <v>1701</v>
      </c>
      <c r="AC198" s="781"/>
      <c r="AD198" s="781"/>
      <c r="AE198" s="781"/>
      <c r="AF198" s="781"/>
      <c r="AG198" s="781"/>
      <c r="AH198" s="781"/>
      <c r="AI198" s="781"/>
      <c r="AJ198" s="363"/>
    </row>
    <row r="199" spans="4:46" ht="23.25" customHeight="1">
      <c r="D199" s="1">
        <v>37</v>
      </c>
      <c r="AB199" s="829" t="s">
        <v>1702</v>
      </c>
      <c r="AC199" s="781"/>
      <c r="AD199" s="781"/>
      <c r="AE199" s="781"/>
      <c r="AF199" s="781"/>
      <c r="AG199" s="781"/>
      <c r="AH199" s="781"/>
      <c r="AI199" s="781"/>
      <c r="AJ199" s="781"/>
      <c r="AK199" s="781"/>
      <c r="AL199" s="781"/>
      <c r="AM199" s="781"/>
      <c r="AN199" s="781"/>
      <c r="AO199" s="781"/>
      <c r="AP199" s="781"/>
      <c r="AQ199" s="781"/>
      <c r="AR199" s="781"/>
      <c r="AS199" s="781"/>
      <c r="AT199" s="781"/>
    </row>
    <row r="200" spans="4:46" ht="20.25" customHeight="1">
      <c r="D200" s="1">
        <v>32</v>
      </c>
      <c r="AB200" s="1030" t="s">
        <v>1703</v>
      </c>
      <c r="AC200" s="781"/>
      <c r="AD200" s="781"/>
      <c r="AE200" s="781"/>
      <c r="AF200" s="781"/>
      <c r="AG200" s="781"/>
      <c r="AH200" s="781"/>
      <c r="AI200" s="781"/>
      <c r="AJ200" s="363"/>
    </row>
    <row r="201" spans="4:46" ht="23.25" customHeight="1">
      <c r="D201" s="1">
        <v>37</v>
      </c>
      <c r="AB201" s="1030" t="s">
        <v>1414</v>
      </c>
      <c r="AC201" s="781"/>
      <c r="AD201" s="781"/>
      <c r="AE201" s="781"/>
      <c r="AF201" s="781"/>
      <c r="AG201" s="781"/>
      <c r="AH201" s="781"/>
      <c r="AI201" s="781"/>
      <c r="AJ201" s="363"/>
    </row>
    <row r="202" spans="4:46" ht="27.75" customHeight="1">
      <c r="D202" s="1">
        <v>45</v>
      </c>
      <c r="AB202" s="829" t="s">
        <v>1704</v>
      </c>
      <c r="AC202" s="781"/>
      <c r="AD202" s="781"/>
      <c r="AE202" s="781"/>
      <c r="AF202" s="781"/>
      <c r="AG202" s="781"/>
      <c r="AH202" s="781"/>
      <c r="AI202" s="781"/>
      <c r="AJ202" s="781"/>
      <c r="AK202" s="781"/>
      <c r="AL202" s="781"/>
      <c r="AM202" s="781"/>
      <c r="AN202" s="781"/>
      <c r="AO202" s="781"/>
      <c r="AP202" s="781"/>
      <c r="AQ202" s="781"/>
      <c r="AR202" s="781"/>
      <c r="AS202" s="781"/>
      <c r="AT202" s="781"/>
    </row>
    <row r="203" spans="4:46" ht="20.25" customHeight="1">
      <c r="D203" s="1">
        <v>32</v>
      </c>
      <c r="AB203" s="1030" t="s">
        <v>1415</v>
      </c>
      <c r="AC203" s="781"/>
      <c r="AD203" s="781"/>
      <c r="AE203" s="781"/>
      <c r="AF203" s="781"/>
      <c r="AG203" s="781"/>
      <c r="AH203" s="781"/>
      <c r="AI203" s="781"/>
      <c r="AJ203" s="363"/>
    </row>
    <row r="204" spans="4:46" ht="26.25" customHeight="1">
      <c r="D204" s="1">
        <v>42</v>
      </c>
      <c r="AB204" s="832" t="s">
        <v>1416</v>
      </c>
      <c r="AC204" s="781"/>
      <c r="AD204" s="781"/>
      <c r="AE204" s="781"/>
      <c r="AF204" s="781"/>
      <c r="AG204" s="781"/>
      <c r="AH204" s="781"/>
      <c r="AI204" s="781"/>
      <c r="AJ204" s="781"/>
      <c r="AK204" s="781"/>
      <c r="AL204" s="781"/>
      <c r="AM204" s="781"/>
      <c r="AN204" s="781"/>
      <c r="AO204" s="781"/>
      <c r="AP204" s="781"/>
      <c r="AQ204" s="781"/>
      <c r="AR204" s="781"/>
      <c r="AS204" s="781"/>
      <c r="AT204" s="781"/>
    </row>
    <row r="205" spans="4:46" ht="14.25" customHeight="1">
      <c r="D205" s="1">
        <v>23</v>
      </c>
      <c r="AB205" s="832" t="s">
        <v>1705</v>
      </c>
      <c r="AC205" s="781"/>
      <c r="AD205" s="781"/>
      <c r="AE205" s="781"/>
      <c r="AF205" s="781"/>
      <c r="AG205" s="781"/>
      <c r="AH205" s="781"/>
      <c r="AI205" s="781"/>
      <c r="AJ205" s="781"/>
      <c r="AK205" s="781"/>
      <c r="AL205" s="781"/>
      <c r="AM205" s="781"/>
      <c r="AN205" s="781"/>
      <c r="AO205" s="781"/>
      <c r="AP205" s="781"/>
      <c r="AQ205" s="781"/>
      <c r="AR205" s="781"/>
      <c r="AS205" s="781"/>
      <c r="AT205" s="781"/>
    </row>
    <row r="206" spans="4:46" ht="14.25" customHeight="1">
      <c r="D206" s="1">
        <v>23</v>
      </c>
      <c r="AB206" s="832" t="s">
        <v>1706</v>
      </c>
      <c r="AC206" s="781"/>
      <c r="AD206" s="781"/>
      <c r="AE206" s="781"/>
      <c r="AF206" s="781"/>
      <c r="AG206" s="781"/>
      <c r="AH206" s="781"/>
      <c r="AI206" s="781"/>
      <c r="AJ206" s="781"/>
      <c r="AK206" s="781"/>
      <c r="AL206" s="781"/>
      <c r="AM206" s="781"/>
      <c r="AN206" s="781"/>
      <c r="AO206" s="781"/>
      <c r="AP206" s="781"/>
      <c r="AQ206" s="781"/>
      <c r="AR206" s="781"/>
      <c r="AS206" s="781"/>
      <c r="AT206" s="781"/>
    </row>
    <row r="207" spans="4:46" ht="24.75" customHeight="1">
      <c r="D207" s="1">
        <v>40</v>
      </c>
      <c r="AB207" s="1049"/>
      <c r="AC207" s="1050"/>
      <c r="AD207" s="1050"/>
      <c r="AE207" s="1050"/>
      <c r="AF207" s="1050"/>
      <c r="AG207" s="1050"/>
      <c r="AH207" s="1050"/>
      <c r="AI207" s="1050"/>
      <c r="AJ207" s="1050"/>
      <c r="AK207" s="1050"/>
      <c r="AL207" s="1050"/>
      <c r="AM207" s="1050"/>
      <c r="AN207" s="1050"/>
      <c r="AO207" s="1050"/>
      <c r="AP207" s="1050"/>
      <c r="AQ207" s="1050"/>
      <c r="AR207" s="1050"/>
      <c r="AS207" s="1050"/>
      <c r="AT207" s="1051"/>
    </row>
    <row r="208" spans="4:46" ht="24.75" customHeight="1">
      <c r="D208" s="1">
        <v>40</v>
      </c>
      <c r="AB208" s="1049"/>
      <c r="AC208" s="1050"/>
      <c r="AD208" s="1050"/>
      <c r="AE208" s="1050"/>
      <c r="AF208" s="1050"/>
      <c r="AG208" s="1050"/>
      <c r="AH208" s="1050"/>
      <c r="AI208" s="1050"/>
      <c r="AJ208" s="1050"/>
      <c r="AK208" s="1050"/>
      <c r="AL208" s="1050"/>
      <c r="AM208" s="1050"/>
      <c r="AN208" s="1050"/>
      <c r="AO208" s="1050"/>
      <c r="AP208" s="1050"/>
      <c r="AQ208" s="1050"/>
      <c r="AR208" s="1050"/>
      <c r="AS208" s="1050"/>
      <c r="AT208" s="1051"/>
    </row>
    <row r="209" spans="4:46" ht="11.25" hidden="1" customHeight="1">
      <c r="D209" s="1">
        <v>0</v>
      </c>
      <c r="AB209" s="781"/>
      <c r="AC209" s="781"/>
      <c r="AD209" s="781"/>
      <c r="AE209" s="781"/>
      <c r="AF209" s="781"/>
      <c r="AG209" s="781"/>
      <c r="AH209" s="781"/>
      <c r="AI209" s="781"/>
      <c r="AJ209" s="781"/>
      <c r="AK209" s="781"/>
      <c r="AL209" s="781"/>
      <c r="AM209" s="781"/>
      <c r="AN209" s="781"/>
      <c r="AO209" s="781"/>
      <c r="AP209" s="781"/>
      <c r="AQ209" s="781"/>
      <c r="AR209" s="781"/>
      <c r="AS209" s="781"/>
      <c r="AT209" s="781"/>
    </row>
    <row r="210" spans="4:46" ht="11.25" hidden="1" customHeight="1">
      <c r="D210" s="1">
        <v>0</v>
      </c>
    </row>
    <row r="211" spans="4:46" ht="28.5" customHeight="1">
      <c r="D211" s="1">
        <v>45</v>
      </c>
      <c r="AB211" s="1048" t="s">
        <v>1417</v>
      </c>
      <c r="AC211" s="781"/>
      <c r="AD211" s="781"/>
      <c r="AE211" s="781"/>
      <c r="AF211" s="781"/>
      <c r="AG211" s="781"/>
      <c r="AH211" s="781"/>
      <c r="AI211" s="781"/>
      <c r="AJ211" s="781"/>
      <c r="AK211" s="781"/>
      <c r="AL211" s="781"/>
      <c r="AM211" s="781"/>
      <c r="AN211" s="781"/>
      <c r="AO211" s="781"/>
      <c r="AP211" s="781"/>
      <c r="AQ211" s="781"/>
    </row>
    <row r="212" spans="4:46" ht="11.25" customHeight="1">
      <c r="D212" s="1">
        <v>18</v>
      </c>
    </row>
    <row r="213" spans="4:46" ht="48.75" customHeight="1">
      <c r="D213" s="1">
        <v>79</v>
      </c>
      <c r="AB213" s="137" t="s">
        <v>1327</v>
      </c>
      <c r="AC213" s="842" t="s">
        <v>1418</v>
      </c>
      <c r="AD213" s="842"/>
      <c r="AE213" s="842"/>
      <c r="AF213" s="842"/>
      <c r="AG213" s="842"/>
      <c r="AH213" s="842"/>
      <c r="AI213" s="842"/>
      <c r="AJ213" s="842"/>
      <c r="AK213" s="842"/>
      <c r="AL213" s="842"/>
      <c r="AM213" s="842"/>
      <c r="AN213" s="842"/>
      <c r="AO213" s="842"/>
      <c r="AP213" s="1053" t="s">
        <v>1419</v>
      </c>
      <c r="AQ213" s="1054"/>
    </row>
    <row r="214" spans="4:46" ht="11.25" customHeight="1">
      <c r="D214" s="1">
        <v>18</v>
      </c>
      <c r="AB214" s="66">
        <v>1</v>
      </c>
      <c r="AC214" s="796" t="s">
        <v>1707</v>
      </c>
      <c r="AD214" s="796"/>
      <c r="AE214" s="796"/>
      <c r="AF214" s="796"/>
      <c r="AG214" s="796"/>
      <c r="AH214" s="796"/>
      <c r="AI214" s="796"/>
      <c r="AJ214" s="796"/>
      <c r="AK214" s="796"/>
      <c r="AL214" s="796"/>
      <c r="AM214" s="796"/>
      <c r="AN214" s="796"/>
      <c r="AO214" s="796"/>
      <c r="AP214" s="1052"/>
      <c r="AQ214" s="1052"/>
    </row>
    <row r="215" spans="4:46" ht="11.25" customHeight="1">
      <c r="D215" s="1">
        <v>18</v>
      </c>
      <c r="AB215" s="66">
        <v>2</v>
      </c>
      <c r="AC215" s="796" t="s">
        <v>1708</v>
      </c>
      <c r="AD215" s="796"/>
      <c r="AE215" s="796"/>
      <c r="AF215" s="796"/>
      <c r="AG215" s="796"/>
      <c r="AH215" s="796"/>
      <c r="AI215" s="796"/>
      <c r="AJ215" s="796"/>
      <c r="AK215" s="796"/>
      <c r="AL215" s="796"/>
      <c r="AM215" s="796"/>
      <c r="AN215" s="796"/>
      <c r="AO215" s="796"/>
      <c r="AP215" s="1052"/>
      <c r="AQ215" s="1052"/>
    </row>
    <row r="216" spans="4:46" ht="11.25" customHeight="1">
      <c r="D216" s="1">
        <v>18</v>
      </c>
      <c r="AB216" s="47" t="s">
        <v>632</v>
      </c>
      <c r="AC216" s="796" t="s">
        <v>1422</v>
      </c>
      <c r="AD216" s="796"/>
      <c r="AE216" s="796"/>
      <c r="AF216" s="796"/>
      <c r="AG216" s="796"/>
      <c r="AH216" s="796"/>
      <c r="AI216" s="796"/>
      <c r="AJ216" s="796"/>
      <c r="AK216" s="796"/>
      <c r="AL216" s="796"/>
      <c r="AM216" s="796"/>
      <c r="AN216" s="796"/>
      <c r="AO216" s="796"/>
      <c r="AP216" s="1052"/>
      <c r="AQ216" s="1052"/>
    </row>
    <row r="217" spans="4:46" ht="11.25" customHeight="1">
      <c r="D217" s="1">
        <v>18</v>
      </c>
      <c r="AB217" s="47" t="s">
        <v>762</v>
      </c>
      <c r="AC217" s="796" t="s">
        <v>1638</v>
      </c>
      <c r="AD217" s="796"/>
      <c r="AE217" s="796"/>
      <c r="AF217" s="796"/>
      <c r="AG217" s="796"/>
      <c r="AH217" s="796"/>
      <c r="AI217" s="796"/>
      <c r="AJ217" s="796"/>
      <c r="AK217" s="796"/>
      <c r="AL217" s="796"/>
      <c r="AM217" s="796"/>
      <c r="AN217" s="796"/>
      <c r="AO217" s="796"/>
      <c r="AP217" s="1052"/>
      <c r="AQ217" s="1052"/>
    </row>
    <row r="218" spans="4:46" ht="11.25" customHeight="1">
      <c r="D218" s="1">
        <v>18</v>
      </c>
      <c r="AB218" s="47" t="s">
        <v>763</v>
      </c>
      <c r="AC218" s="796" t="s">
        <v>1424</v>
      </c>
      <c r="AD218" s="796"/>
      <c r="AE218" s="796"/>
      <c r="AF218" s="796"/>
      <c r="AG218" s="796"/>
      <c r="AH218" s="796"/>
      <c r="AI218" s="796"/>
      <c r="AJ218" s="796"/>
      <c r="AK218" s="796"/>
      <c r="AL218" s="796"/>
      <c r="AM218" s="796"/>
      <c r="AN218" s="796"/>
      <c r="AO218" s="796"/>
      <c r="AP218" s="1052"/>
      <c r="AQ218" s="1052"/>
    </row>
    <row r="219" spans="4:46" ht="11.25" customHeight="1">
      <c r="D219" s="1">
        <v>18</v>
      </c>
      <c r="AB219" s="47" t="s">
        <v>765</v>
      </c>
      <c r="AC219" s="796" t="s">
        <v>1425</v>
      </c>
      <c r="AD219" s="796"/>
      <c r="AE219" s="796"/>
      <c r="AF219" s="796"/>
      <c r="AG219" s="796"/>
      <c r="AH219" s="796"/>
      <c r="AI219" s="796"/>
      <c r="AJ219" s="796"/>
      <c r="AK219" s="796"/>
      <c r="AL219" s="796"/>
      <c r="AM219" s="796"/>
      <c r="AN219" s="796"/>
      <c r="AO219" s="796"/>
      <c r="AP219" s="1052"/>
      <c r="AQ219" s="1052"/>
    </row>
    <row r="220" spans="4:46" ht="11.25" customHeight="1">
      <c r="D220" s="1">
        <v>18</v>
      </c>
      <c r="AB220" s="66">
        <v>3</v>
      </c>
      <c r="AC220" s="796" t="s">
        <v>1426</v>
      </c>
      <c r="AD220" s="796"/>
      <c r="AE220" s="796"/>
      <c r="AF220" s="796"/>
      <c r="AG220" s="796"/>
      <c r="AH220" s="796"/>
      <c r="AI220" s="796"/>
      <c r="AJ220" s="796"/>
      <c r="AK220" s="796"/>
      <c r="AL220" s="796"/>
      <c r="AM220" s="796"/>
      <c r="AN220" s="796"/>
      <c r="AO220" s="796"/>
      <c r="AP220" s="1052"/>
      <c r="AQ220" s="1052"/>
    </row>
    <row r="221" spans="4:46" ht="11.25" customHeight="1">
      <c r="D221" s="1">
        <v>18</v>
      </c>
      <c r="AB221" s="66">
        <v>4</v>
      </c>
      <c r="AC221" s="796" t="s">
        <v>1427</v>
      </c>
      <c r="AD221" s="796"/>
      <c r="AE221" s="796"/>
      <c r="AF221" s="796"/>
      <c r="AG221" s="796"/>
      <c r="AH221" s="796"/>
      <c r="AI221" s="796"/>
      <c r="AJ221" s="796"/>
      <c r="AK221" s="796"/>
      <c r="AL221" s="796"/>
      <c r="AM221" s="796"/>
      <c r="AN221" s="796"/>
      <c r="AO221" s="796"/>
      <c r="AP221" s="797">
        <v>0</v>
      </c>
      <c r="AQ221" s="796"/>
    </row>
    <row r="222" spans="4:46" ht="11.25" customHeight="1">
      <c r="D222" s="1">
        <v>18</v>
      </c>
      <c r="AB222" s="66">
        <v>5</v>
      </c>
      <c r="AC222" s="796" t="s">
        <v>1428</v>
      </c>
      <c r="AD222" s="796"/>
      <c r="AE222" s="796"/>
      <c r="AF222" s="796"/>
      <c r="AG222" s="796"/>
      <c r="AH222" s="796"/>
      <c r="AI222" s="796"/>
      <c r="AJ222" s="796"/>
      <c r="AK222" s="796"/>
      <c r="AL222" s="796"/>
      <c r="AM222" s="796"/>
      <c r="AN222" s="796"/>
      <c r="AO222" s="796"/>
      <c r="AP222" s="1055">
        <v>0</v>
      </c>
      <c r="AQ222" s="796"/>
    </row>
    <row r="223" spans="4:46" ht="11.25" customHeight="1">
      <c r="D223" s="1">
        <v>18</v>
      </c>
    </row>
    <row r="224" spans="4:46" ht="28.5" customHeight="1">
      <c r="D224" s="1">
        <v>45</v>
      </c>
      <c r="AB224" s="1048" t="s">
        <v>1631</v>
      </c>
      <c r="AC224" s="781"/>
      <c r="AD224" s="781"/>
      <c r="AE224" s="781"/>
      <c r="AF224" s="781"/>
      <c r="AG224" s="781"/>
      <c r="AH224" s="781"/>
      <c r="AI224" s="781"/>
      <c r="AJ224" s="781"/>
      <c r="AK224" s="781"/>
      <c r="AL224" s="781"/>
      <c r="AM224" s="781"/>
      <c r="AN224" s="781"/>
      <c r="AO224" s="781"/>
      <c r="AP224" s="781"/>
      <c r="AQ224" s="781"/>
    </row>
    <row r="225" spans="4:46" ht="95.25" customHeight="1">
      <c r="D225" s="1">
        <v>152</v>
      </c>
      <c r="AB225" s="832" t="s">
        <v>1632</v>
      </c>
      <c r="AC225" s="781"/>
      <c r="AD225" s="781"/>
      <c r="AE225" s="781"/>
      <c r="AF225" s="781"/>
      <c r="AG225" s="781"/>
      <c r="AH225" s="781"/>
      <c r="AI225" s="781"/>
      <c r="AJ225" s="781"/>
      <c r="AK225" s="781"/>
      <c r="AL225" s="781"/>
      <c r="AM225" s="781"/>
      <c r="AN225" s="781"/>
      <c r="AO225" s="781"/>
      <c r="AP225" s="781"/>
      <c r="AQ225" s="781"/>
      <c r="AR225" s="781"/>
      <c r="AS225" s="781"/>
      <c r="AT225" s="781"/>
    </row>
    <row r="226" spans="4:46" ht="18" customHeight="1">
      <c r="D226" s="1">
        <v>29</v>
      </c>
      <c r="AB226" s="1048" t="s">
        <v>1633</v>
      </c>
      <c r="AC226" s="781"/>
      <c r="AD226" s="781"/>
      <c r="AE226" s="781"/>
      <c r="AF226" s="781"/>
      <c r="AG226" s="781"/>
      <c r="AH226" s="781"/>
      <c r="AI226" s="781"/>
      <c r="AJ226" s="781"/>
      <c r="AK226" s="781"/>
      <c r="AL226" s="781"/>
      <c r="AM226" s="781"/>
      <c r="AN226" s="781"/>
      <c r="AO226" s="781"/>
      <c r="AP226" s="781"/>
      <c r="AQ226" s="781"/>
    </row>
    <row r="227" spans="4:46" ht="29.25" customHeight="1">
      <c r="D227" s="1">
        <v>47</v>
      </c>
      <c r="AB227" s="832" t="s">
        <v>1918</v>
      </c>
      <c r="AC227" s="781"/>
      <c r="AD227" s="781"/>
      <c r="AE227" s="781"/>
      <c r="AF227" s="781"/>
      <c r="AG227" s="781"/>
      <c r="AH227" s="781"/>
      <c r="AI227" s="781"/>
      <c r="AJ227" s="781"/>
      <c r="AK227" s="781"/>
      <c r="AL227" s="781"/>
      <c r="AM227" s="781"/>
      <c r="AN227" s="781"/>
      <c r="AO227" s="781"/>
      <c r="AP227" s="781"/>
      <c r="AQ227" s="781"/>
    </row>
    <row r="228" spans="4:46" ht="14.25" customHeight="1">
      <c r="D228" s="1">
        <v>23</v>
      </c>
      <c r="AB228" s="829" t="s">
        <v>1919</v>
      </c>
      <c r="AC228" s="781"/>
      <c r="AD228" s="397"/>
    </row>
    <row r="229" spans="4:46" ht="14.25" customHeight="1">
      <c r="D229" s="1">
        <v>23</v>
      </c>
      <c r="AB229" s="829" t="s">
        <v>1920</v>
      </c>
      <c r="AC229" s="781"/>
      <c r="AD229" s="398"/>
    </row>
    <row r="230" spans="4:46" ht="14.25" customHeight="1">
      <c r="D230" s="1">
        <v>23</v>
      </c>
      <c r="AB230" s="829" t="s">
        <v>1921</v>
      </c>
      <c r="AC230" s="781"/>
      <c r="AD230" s="398"/>
    </row>
    <row r="231" spans="4:46" ht="14.25" customHeight="1">
      <c r="D231" s="1">
        <v>23</v>
      </c>
      <c r="AB231" s="829" t="s">
        <v>1922</v>
      </c>
      <c r="AC231" s="781"/>
      <c r="AD231" s="398"/>
    </row>
    <row r="232" spans="4:46" ht="14.25" customHeight="1">
      <c r="D232" s="1">
        <v>23</v>
      </c>
      <c r="AB232" s="829" t="s">
        <v>1923</v>
      </c>
      <c r="AC232" s="781"/>
      <c r="AD232" s="398"/>
    </row>
    <row r="233" spans="4:46" ht="46.5" customHeight="1">
      <c r="D233" s="1">
        <v>74</v>
      </c>
      <c r="AB233" s="832" t="s">
        <v>1924</v>
      </c>
      <c r="AC233" s="781"/>
      <c r="AD233" s="781"/>
      <c r="AE233" s="781"/>
      <c r="AF233" s="781"/>
      <c r="AG233" s="781"/>
      <c r="AH233" s="781"/>
      <c r="AI233" s="781"/>
      <c r="AJ233" s="781"/>
      <c r="AK233" s="781"/>
      <c r="AL233" s="781"/>
      <c r="AM233" s="781"/>
      <c r="AN233" s="781"/>
      <c r="AO233" s="781"/>
      <c r="AP233" s="781"/>
      <c r="AQ233" s="781"/>
    </row>
    <row r="234" spans="4:46" ht="18" customHeight="1">
      <c r="D234" s="1">
        <v>29</v>
      </c>
      <c r="AB234" s="1048" t="s">
        <v>1634</v>
      </c>
      <c r="AC234" s="781"/>
      <c r="AD234" s="781"/>
      <c r="AE234" s="781"/>
      <c r="AF234" s="781"/>
      <c r="AG234" s="781"/>
      <c r="AH234" s="781"/>
      <c r="AI234" s="781"/>
      <c r="AJ234" s="781"/>
      <c r="AK234" s="781"/>
      <c r="AL234" s="781"/>
      <c r="AM234" s="781"/>
      <c r="AN234" s="781"/>
      <c r="AO234" s="781"/>
      <c r="AP234" s="781"/>
      <c r="AQ234" s="781"/>
    </row>
    <row r="235" spans="4:46" ht="18" customHeight="1">
      <c r="D235" s="1">
        <v>29</v>
      </c>
      <c r="AB235" s="832" t="s">
        <v>1925</v>
      </c>
      <c r="AC235" s="781"/>
      <c r="AD235" s="781"/>
      <c r="AE235" s="781"/>
      <c r="AF235" s="781"/>
      <c r="AG235" s="781"/>
      <c r="AH235" s="781"/>
      <c r="AI235" s="781"/>
      <c r="AJ235" s="781"/>
      <c r="AK235" s="781"/>
      <c r="AL235" s="781"/>
      <c r="AM235" s="781"/>
      <c r="AN235" s="781"/>
      <c r="AO235" s="781"/>
      <c r="AP235" s="781"/>
      <c r="AQ235" s="781"/>
    </row>
    <row r="236" spans="4:46" ht="18" customHeight="1">
      <c r="D236" s="1">
        <v>29</v>
      </c>
      <c r="AB236" s="829" t="s">
        <v>1919</v>
      </c>
      <c r="AC236" s="781"/>
      <c r="AD236" s="135"/>
    </row>
    <row r="237" spans="4:46" ht="18" customHeight="1">
      <c r="D237" s="1">
        <v>29</v>
      </c>
      <c r="AB237" s="829" t="s">
        <v>1920</v>
      </c>
      <c r="AC237" s="781"/>
      <c r="AD237" s="135"/>
    </row>
    <row r="238" spans="4:46" ht="18" customHeight="1">
      <c r="D238" s="1">
        <v>29</v>
      </c>
      <c r="AB238" s="829" t="s">
        <v>1921</v>
      </c>
      <c r="AC238" s="781"/>
      <c r="AD238" s="135"/>
    </row>
    <row r="239" spans="4:46" ht="15.75" customHeight="1">
      <c r="D239" s="1">
        <v>26</v>
      </c>
      <c r="AB239" s="829" t="s">
        <v>1922</v>
      </c>
      <c r="AC239" s="781"/>
      <c r="AD239" s="135"/>
    </row>
    <row r="240" spans="4:46" ht="15.75" customHeight="1">
      <c r="D240" s="1">
        <v>26</v>
      </c>
      <c r="AB240" s="829" t="s">
        <v>1923</v>
      </c>
      <c r="AC240" s="781"/>
      <c r="AD240" s="135"/>
    </row>
    <row r="241" spans="4:44" ht="18" customHeight="1">
      <c r="D241" s="1">
        <v>29</v>
      </c>
      <c r="AB241" s="832" t="s">
        <v>1926</v>
      </c>
      <c r="AC241" s="781"/>
      <c r="AD241" s="781"/>
      <c r="AE241" s="781"/>
      <c r="AF241" s="781"/>
      <c r="AG241" s="781"/>
      <c r="AH241" s="781"/>
      <c r="AI241" s="781"/>
      <c r="AJ241" s="781"/>
      <c r="AK241" s="781"/>
      <c r="AL241" s="781"/>
      <c r="AM241" s="781"/>
      <c r="AN241" s="781"/>
      <c r="AO241" s="781"/>
      <c r="AP241" s="781"/>
      <c r="AQ241" s="781"/>
    </row>
    <row r="242" spans="4:44" ht="18" customHeight="1">
      <c r="D242" s="1">
        <v>29</v>
      </c>
      <c r="AB242" s="832" t="s">
        <v>1927</v>
      </c>
      <c r="AC242" s="781"/>
      <c r="AD242" s="781"/>
      <c r="AE242" s="781"/>
      <c r="AF242" s="781"/>
      <c r="AG242" s="781"/>
      <c r="AH242" s="781"/>
      <c r="AI242" s="781"/>
      <c r="AJ242" s="781"/>
      <c r="AK242" s="781"/>
      <c r="AL242" s="781"/>
      <c r="AM242" s="781"/>
      <c r="AN242" s="781"/>
      <c r="AO242" s="781"/>
      <c r="AP242" s="781"/>
      <c r="AQ242" s="781"/>
    </row>
    <row r="243" spans="4:44" ht="17.25" customHeight="1">
      <c r="D243" s="1">
        <v>28</v>
      </c>
      <c r="AB243" s="832" t="s">
        <v>1714</v>
      </c>
      <c r="AC243" s="781"/>
      <c r="AD243" s="781"/>
      <c r="AE243" s="781"/>
      <c r="AF243" s="781"/>
      <c r="AG243" s="781"/>
      <c r="AH243" s="781"/>
      <c r="AI243" s="781"/>
      <c r="AJ243" s="1065"/>
      <c r="AK243" s="1066"/>
      <c r="AL243" s="1066"/>
      <c r="AM243" s="1066"/>
      <c r="AN243" s="1066"/>
      <c r="AO243" s="1066"/>
      <c r="AP243" s="1066"/>
      <c r="AQ243" s="1066"/>
      <c r="AR243" s="1067"/>
    </row>
    <row r="244" spans="4:44" ht="19.5" customHeight="1">
      <c r="D244" s="1">
        <v>32</v>
      </c>
      <c r="AB244" s="832" t="s">
        <v>1715</v>
      </c>
      <c r="AC244" s="781"/>
      <c r="AD244" s="781"/>
      <c r="AE244" s="781"/>
      <c r="AF244" s="781"/>
      <c r="AG244" s="781"/>
      <c r="AH244" s="781"/>
      <c r="AI244" s="781"/>
      <c r="AJ244" s="781"/>
      <c r="AK244" s="781"/>
      <c r="AL244" s="781"/>
      <c r="AM244" s="781"/>
      <c r="AN244" s="781"/>
      <c r="AO244" s="781"/>
      <c r="AP244" s="781"/>
      <c r="AQ244" s="781"/>
    </row>
    <row r="245" spans="4:44" ht="17.25" customHeight="1">
      <c r="D245" s="1">
        <v>28</v>
      </c>
      <c r="AB245" s="781"/>
      <c r="AC245" s="781"/>
      <c r="AD245" s="781"/>
      <c r="AE245" s="781"/>
      <c r="AF245" s="781"/>
      <c r="AG245" s="781"/>
      <c r="AH245" s="781"/>
      <c r="AI245" s="781"/>
      <c r="AJ245" s="781"/>
      <c r="AK245" s="781"/>
    </row>
    <row r="246" spans="4:44" ht="26.25" customHeight="1">
      <c r="D246" s="1">
        <v>42</v>
      </c>
      <c r="AB246" s="366" t="s">
        <v>509</v>
      </c>
      <c r="AC246" s="1059" t="s">
        <v>608</v>
      </c>
      <c r="AD246" s="1060"/>
      <c r="AE246" s="367" t="s">
        <v>175</v>
      </c>
      <c r="AF246" s="143" t="s">
        <v>900</v>
      </c>
      <c r="AG246" s="143" t="s">
        <v>901</v>
      </c>
      <c r="AH246" s="143" t="s">
        <v>194</v>
      </c>
      <c r="AI246" s="143" t="s">
        <v>899</v>
      </c>
    </row>
    <row r="247" spans="4:44" ht="17.25" customHeight="1">
      <c r="D247" s="1">
        <v>28</v>
      </c>
      <c r="AB247" s="144" t="s">
        <v>532</v>
      </c>
      <c r="AC247" s="1061" t="s">
        <v>911</v>
      </c>
      <c r="AD247" s="1062"/>
      <c r="AE247" s="1063"/>
      <c r="AF247" s="1064"/>
      <c r="AG247" s="145"/>
      <c r="AH247" s="146"/>
      <c r="AI247" s="146"/>
    </row>
    <row r="248" spans="4:44" ht="30.75" customHeight="1">
      <c r="D248" s="1">
        <v>50</v>
      </c>
      <c r="AB248" s="355" t="s">
        <v>637</v>
      </c>
      <c r="AC248" s="798" t="s">
        <v>1928</v>
      </c>
      <c r="AD248" s="798"/>
      <c r="AE248" s="161">
        <v>0</v>
      </c>
      <c r="AF248" s="161">
        <v>0</v>
      </c>
      <c r="AG248" s="161">
        <v>0</v>
      </c>
      <c r="AH248" s="161">
        <v>0</v>
      </c>
      <c r="AI248" s="161">
        <v>0</v>
      </c>
    </row>
    <row r="249" spans="4:44" ht="28.5" customHeight="1">
      <c r="D249" s="1">
        <v>45</v>
      </c>
      <c r="AB249" s="355" t="s">
        <v>642</v>
      </c>
      <c r="AC249" s="798" t="s">
        <v>1929</v>
      </c>
      <c r="AD249" s="798"/>
      <c r="AE249" s="161">
        <v>0</v>
      </c>
      <c r="AF249" s="161">
        <v>0</v>
      </c>
      <c r="AG249" s="161">
        <v>0</v>
      </c>
      <c r="AH249" s="161">
        <v>0</v>
      </c>
      <c r="AI249" s="161">
        <v>0</v>
      </c>
    </row>
    <row r="250" spans="4:44" ht="28.5" customHeight="1">
      <c r="D250" s="1">
        <v>45</v>
      </c>
      <c r="AB250" s="355" t="s">
        <v>647</v>
      </c>
      <c r="AC250" s="798" t="s">
        <v>1716</v>
      </c>
      <c r="AD250" s="798"/>
      <c r="AE250" s="161">
        <v>0</v>
      </c>
      <c r="AF250" s="161">
        <v>0</v>
      </c>
      <c r="AG250" s="161">
        <v>0</v>
      </c>
      <c r="AH250" s="161">
        <v>0</v>
      </c>
      <c r="AI250" s="161">
        <v>0</v>
      </c>
    </row>
    <row r="251" spans="4:44" ht="28.5" customHeight="1">
      <c r="D251" s="1">
        <v>45</v>
      </c>
      <c r="AB251" s="355" t="s">
        <v>652</v>
      </c>
      <c r="AC251" s="798" t="s">
        <v>1930</v>
      </c>
      <c r="AD251" s="798"/>
      <c r="AE251" s="161">
        <v>0</v>
      </c>
      <c r="AF251" s="161">
        <v>0</v>
      </c>
      <c r="AG251" s="161">
        <v>0</v>
      </c>
      <c r="AH251" s="161">
        <v>0</v>
      </c>
      <c r="AI251" s="161">
        <v>0</v>
      </c>
    </row>
    <row r="252" spans="4:44" ht="28.5" customHeight="1">
      <c r="D252" s="1">
        <v>45</v>
      </c>
      <c r="AB252" s="355" t="s">
        <v>912</v>
      </c>
      <c r="AC252" s="798" t="s">
        <v>1718</v>
      </c>
      <c r="AD252" s="798"/>
      <c r="AE252" s="161">
        <v>0</v>
      </c>
      <c r="AF252" s="161">
        <v>0</v>
      </c>
      <c r="AG252" s="161">
        <v>0</v>
      </c>
      <c r="AH252" s="161">
        <v>0</v>
      </c>
      <c r="AI252" s="161">
        <v>0</v>
      </c>
    </row>
    <row r="253" spans="4:44" ht="28.5" customHeight="1">
      <c r="D253" s="1">
        <v>45</v>
      </c>
      <c r="AB253" s="355" t="s">
        <v>913</v>
      </c>
      <c r="AC253" s="798" t="s">
        <v>1931</v>
      </c>
      <c r="AD253" s="798"/>
      <c r="AE253" s="161">
        <v>0</v>
      </c>
      <c r="AF253" s="161">
        <v>0</v>
      </c>
      <c r="AG253" s="161">
        <v>0</v>
      </c>
      <c r="AH253" s="161">
        <v>0</v>
      </c>
      <c r="AI253" s="161">
        <v>0</v>
      </c>
    </row>
    <row r="254" spans="4:44" ht="28.5" customHeight="1">
      <c r="D254" s="1">
        <v>45</v>
      </c>
      <c r="AB254" s="355" t="s">
        <v>914</v>
      </c>
      <c r="AC254" s="835" t="s">
        <v>1722</v>
      </c>
      <c r="AD254" s="835"/>
      <c r="AE254" s="161">
        <v>0</v>
      </c>
      <c r="AF254" s="161">
        <v>0</v>
      </c>
      <c r="AG254" s="161">
        <v>0</v>
      </c>
      <c r="AH254" s="161">
        <v>0</v>
      </c>
      <c r="AI254" s="161">
        <v>0</v>
      </c>
    </row>
    <row r="255" spans="4:44" ht="19.5" customHeight="1">
      <c r="D255" s="1">
        <v>32</v>
      </c>
      <c r="AB255" s="832" t="s">
        <v>1932</v>
      </c>
      <c r="AC255" s="781"/>
      <c r="AD255" s="781"/>
      <c r="AE255" s="781"/>
      <c r="AF255" s="781"/>
      <c r="AG255" s="781"/>
      <c r="AH255" s="781"/>
      <c r="AI255" s="781"/>
      <c r="AJ255" s="781"/>
      <c r="AK255" s="781"/>
      <c r="AL255" s="781"/>
      <c r="AM255" s="781"/>
      <c r="AN255" s="781"/>
      <c r="AO255" s="781"/>
      <c r="AP255" s="781"/>
      <c r="AQ255" s="781"/>
    </row>
    <row r="256" spans="4:44" ht="19.5" customHeight="1">
      <c r="D256" s="1">
        <v>32</v>
      </c>
    </row>
    <row r="257" spans="2:46" ht="18" customHeight="1">
      <c r="D257" s="1">
        <v>29</v>
      </c>
      <c r="AB257" s="1048" t="s">
        <v>1635</v>
      </c>
      <c r="AC257" s="781"/>
      <c r="AD257" s="781"/>
      <c r="AE257" s="781"/>
      <c r="AF257" s="781"/>
      <c r="AG257" s="781"/>
      <c r="AH257" s="781"/>
      <c r="AI257" s="781"/>
      <c r="AJ257" s="781"/>
      <c r="AK257" s="781"/>
      <c r="AL257" s="781"/>
      <c r="AM257" s="781"/>
      <c r="AN257" s="781"/>
      <c r="AO257" s="781"/>
      <c r="AP257" s="781"/>
      <c r="AQ257" s="781"/>
    </row>
    <row r="258" spans="2:46" ht="18" customHeight="1">
      <c r="D258" s="1">
        <v>29</v>
      </c>
      <c r="AB258" s="832" t="s">
        <v>1636</v>
      </c>
      <c r="AC258" s="781"/>
      <c r="AD258" s="781"/>
      <c r="AE258" s="781"/>
      <c r="AF258" s="781"/>
      <c r="AG258" s="781"/>
      <c r="AH258" s="781"/>
      <c r="AI258" s="781"/>
      <c r="AJ258" s="781"/>
      <c r="AK258" s="781"/>
      <c r="AL258" s="781"/>
      <c r="AM258" s="781"/>
      <c r="AN258" s="781"/>
      <c r="AO258" s="781"/>
      <c r="AP258" s="781"/>
      <c r="AQ258" s="781"/>
    </row>
    <row r="259" spans="2:46" ht="18" customHeight="1">
      <c r="D259" s="1">
        <v>29</v>
      </c>
      <c r="AB259" s="1048" t="s">
        <v>1637</v>
      </c>
      <c r="AC259" s="781"/>
      <c r="AD259" s="781"/>
      <c r="AE259" s="781"/>
      <c r="AF259" s="781"/>
      <c r="AG259" s="781"/>
      <c r="AH259" s="781"/>
      <c r="AI259" s="781"/>
      <c r="AJ259" s="781"/>
      <c r="AK259" s="781"/>
      <c r="AL259" s="781"/>
      <c r="AM259" s="781"/>
      <c r="AN259" s="781"/>
      <c r="AO259" s="781"/>
      <c r="AP259" s="781"/>
      <c r="AQ259" s="781"/>
    </row>
    <row r="260" spans="2:46" ht="17.25" customHeight="1">
      <c r="D260" s="1">
        <v>28</v>
      </c>
      <c r="AB260" s="832" t="s">
        <v>1429</v>
      </c>
      <c r="AC260" s="781"/>
      <c r="AD260" s="781"/>
      <c r="AE260" s="781"/>
      <c r="AF260" s="781"/>
      <c r="AG260" s="781"/>
      <c r="AH260" s="781"/>
      <c r="AI260" s="781"/>
      <c r="AJ260" s="781"/>
      <c r="AK260" s="781"/>
      <c r="AL260" s="781"/>
      <c r="AM260" s="781"/>
      <c r="AN260" s="781"/>
      <c r="AO260" s="781"/>
      <c r="AP260" s="781"/>
      <c r="AQ260" s="781"/>
      <c r="AR260" s="781"/>
      <c r="AS260" s="781"/>
      <c r="AT260" s="781"/>
    </row>
    <row r="261" spans="2:46" ht="17.25" customHeight="1">
      <c r="D261" s="1">
        <v>28</v>
      </c>
      <c r="AB261" s="832" t="s">
        <v>1711</v>
      </c>
      <c r="AC261" s="781"/>
      <c r="AD261" s="781"/>
      <c r="AE261" s="781"/>
      <c r="AF261" s="781"/>
      <c r="AG261" s="781"/>
      <c r="AH261" s="781"/>
      <c r="AI261" s="781"/>
      <c r="AJ261" s="781"/>
      <c r="AK261" s="781"/>
      <c r="AL261" s="781"/>
      <c r="AM261" s="781"/>
      <c r="AN261" s="781"/>
      <c r="AO261" s="781"/>
      <c r="AP261" s="781"/>
      <c r="AQ261" s="781"/>
      <c r="AR261" s="781"/>
      <c r="AS261" s="781"/>
      <c r="AT261" s="781"/>
    </row>
    <row r="262" spans="2:46" ht="17.25" customHeight="1">
      <c r="D262" s="1">
        <v>28</v>
      </c>
      <c r="AB262" s="832" t="s">
        <v>1430</v>
      </c>
      <c r="AC262" s="781"/>
      <c r="AD262" s="781"/>
      <c r="AE262" s="781"/>
      <c r="AF262" s="781"/>
      <c r="AG262" s="781"/>
      <c r="AH262" s="781"/>
      <c r="AI262" s="1056"/>
      <c r="AJ262" s="1057"/>
      <c r="AK262" s="1058"/>
    </row>
    <row r="263" spans="2:46" ht="17.25" customHeight="1">
      <c r="D263" s="1">
        <v>28</v>
      </c>
      <c r="AB263" s="832" t="s">
        <v>1431</v>
      </c>
      <c r="AC263" s="781"/>
      <c r="AD263" s="781"/>
      <c r="AE263" s="781"/>
      <c r="AF263" s="781"/>
      <c r="AG263" s="781"/>
      <c r="AH263" s="781"/>
      <c r="AI263" s="1056"/>
      <c r="AJ263" s="1057"/>
      <c r="AK263" s="1058"/>
    </row>
    <row r="264" spans="2:46" ht="17.25" customHeight="1">
      <c r="D264" s="1">
        <v>28</v>
      </c>
      <c r="AB264" s="832" t="s">
        <v>1422</v>
      </c>
      <c r="AC264" s="781"/>
      <c r="AD264" s="781"/>
      <c r="AE264" s="781"/>
      <c r="AF264" s="781"/>
      <c r="AG264" s="781"/>
      <c r="AH264" s="781"/>
      <c r="AI264" s="1056"/>
      <c r="AJ264" s="1057"/>
      <c r="AK264" s="1058"/>
    </row>
    <row r="265" spans="2:46" ht="17.25" customHeight="1">
      <c r="D265" s="1">
        <v>28</v>
      </c>
      <c r="AB265" s="832" t="s">
        <v>1638</v>
      </c>
      <c r="AC265" s="781"/>
      <c r="AD265" s="781"/>
      <c r="AE265" s="781"/>
      <c r="AF265" s="781"/>
      <c r="AG265" s="781"/>
      <c r="AH265" s="781"/>
      <c r="AI265" s="1056"/>
      <c r="AJ265" s="1057"/>
      <c r="AK265" s="1058"/>
    </row>
    <row r="266" spans="2:46" ht="17.25" customHeight="1">
      <c r="D266" s="1">
        <v>28</v>
      </c>
      <c r="AB266" s="832" t="s">
        <v>1424</v>
      </c>
      <c r="AC266" s="781"/>
      <c r="AD266" s="781"/>
      <c r="AE266" s="781"/>
      <c r="AF266" s="781"/>
      <c r="AG266" s="781"/>
      <c r="AH266" s="781"/>
      <c r="AI266" s="1056"/>
      <c r="AJ266" s="1057"/>
      <c r="AK266" s="1058"/>
    </row>
    <row r="267" spans="2:46" ht="17.25" customHeight="1">
      <c r="D267" s="1">
        <v>28</v>
      </c>
      <c r="AB267" s="832" t="s">
        <v>1425</v>
      </c>
      <c r="AC267" s="781"/>
      <c r="AD267" s="781"/>
      <c r="AE267" s="781"/>
      <c r="AF267" s="781"/>
      <c r="AG267" s="781"/>
      <c r="AH267" s="781"/>
      <c r="AI267" s="1056"/>
      <c r="AJ267" s="1057"/>
      <c r="AK267" s="1058"/>
    </row>
    <row r="268" spans="2:46" ht="19.5" customHeight="1">
      <c r="D268" s="1">
        <v>32</v>
      </c>
      <c r="AB268" s="781"/>
      <c r="AC268" s="781"/>
      <c r="AD268" s="781"/>
      <c r="AE268" s="781"/>
      <c r="AF268" s="781"/>
      <c r="AG268" s="781"/>
      <c r="AH268" s="781"/>
      <c r="AI268" s="781"/>
      <c r="AJ268" s="781"/>
      <c r="AK268" s="781"/>
      <c r="AL268" s="781"/>
      <c r="AM268" s="781"/>
      <c r="AN268" s="781"/>
      <c r="AO268" s="781"/>
      <c r="AP268" s="781"/>
      <c r="AQ268" s="781"/>
    </row>
    <row r="269" spans="2:46" ht="19.5" customHeight="1">
      <c r="D269" s="1">
        <v>32</v>
      </c>
      <c r="AB269" s="832" t="s">
        <v>1434</v>
      </c>
      <c r="AC269" s="781"/>
      <c r="AD269" s="781"/>
      <c r="AE269" s="781"/>
      <c r="AF269" s="781"/>
      <c r="AG269" s="781"/>
      <c r="AH269" s="781"/>
      <c r="AI269" s="781"/>
      <c r="AJ269" s="781"/>
      <c r="AK269" s="781"/>
      <c r="AL269" s="781"/>
      <c r="AM269" s="781"/>
      <c r="AN269" s="781"/>
      <c r="AO269" s="781"/>
      <c r="AP269" s="781"/>
      <c r="AQ269" s="781"/>
    </row>
    <row r="270" spans="2:46" ht="19.5" hidden="1" customHeight="1">
      <c r="B270" s="180" t="s">
        <v>1933</v>
      </c>
      <c r="D270" s="1">
        <v>0</v>
      </c>
      <c r="AB270" s="832" t="s">
        <v>1934</v>
      </c>
      <c r="AC270" s="781"/>
      <c r="AD270" s="781"/>
      <c r="AE270" s="781"/>
      <c r="AF270" s="781"/>
      <c r="AG270" s="781"/>
      <c r="AH270" s="781"/>
      <c r="AI270" s="781"/>
      <c r="AJ270" s="781"/>
      <c r="AK270" s="781"/>
      <c r="AL270" s="781"/>
      <c r="AM270" s="781"/>
      <c r="AN270" s="781"/>
      <c r="AO270" s="781"/>
      <c r="AP270" s="781"/>
      <c r="AQ270" s="781"/>
    </row>
    <row r="271" spans="2:46" ht="17.25" hidden="1" customHeight="1">
      <c r="B271" s="180" t="s">
        <v>1933</v>
      </c>
      <c r="D271" s="1">
        <v>0</v>
      </c>
      <c r="AB271" s="1127"/>
      <c r="AC271" s="1128"/>
      <c r="AD271" s="1128"/>
      <c r="AE271" s="1128"/>
      <c r="AF271" s="1128"/>
      <c r="AG271" s="1128"/>
      <c r="AH271" s="1128"/>
      <c r="AI271" s="1128"/>
      <c r="AJ271" s="1128"/>
      <c r="AK271" s="1128"/>
      <c r="AL271" s="1128"/>
      <c r="AM271" s="1128"/>
      <c r="AN271" s="1128"/>
      <c r="AO271" s="1128"/>
      <c r="AP271" s="1128"/>
      <c r="AQ271" s="1128"/>
      <c r="AR271" s="1128"/>
      <c r="AS271" s="1128"/>
      <c r="AT271" s="1129"/>
    </row>
    <row r="272" spans="2:46" ht="17.25" hidden="1" customHeight="1">
      <c r="B272" s="180" t="s">
        <v>1933</v>
      </c>
      <c r="D272" s="1">
        <v>0</v>
      </c>
      <c r="AB272" s="1127"/>
      <c r="AC272" s="1128"/>
      <c r="AD272" s="1128"/>
      <c r="AE272" s="1128"/>
      <c r="AF272" s="1128"/>
      <c r="AG272" s="1128"/>
      <c r="AH272" s="1128"/>
      <c r="AI272" s="1128"/>
      <c r="AJ272" s="1128"/>
      <c r="AK272" s="1128"/>
      <c r="AL272" s="1128"/>
      <c r="AM272" s="1128"/>
      <c r="AN272" s="1128"/>
      <c r="AO272" s="1128"/>
      <c r="AP272" s="1128"/>
      <c r="AQ272" s="1128"/>
      <c r="AR272" s="1128"/>
      <c r="AS272" s="1128"/>
      <c r="AT272" s="1129"/>
    </row>
    <row r="273" spans="2:46" ht="17.25" hidden="1" customHeight="1">
      <c r="B273" s="180" t="s">
        <v>1933</v>
      </c>
      <c r="D273" s="1">
        <v>0</v>
      </c>
      <c r="AB273" s="1127"/>
      <c r="AC273" s="1128"/>
      <c r="AD273" s="1128"/>
      <c r="AE273" s="1128"/>
      <c r="AF273" s="1128"/>
      <c r="AG273" s="1128"/>
      <c r="AH273" s="1128"/>
      <c r="AI273" s="1128"/>
      <c r="AJ273" s="1128"/>
      <c r="AK273" s="1128"/>
      <c r="AL273" s="1128"/>
      <c r="AM273" s="1128"/>
      <c r="AN273" s="1128"/>
      <c r="AO273" s="1128"/>
      <c r="AP273" s="1128"/>
      <c r="AQ273" s="1128"/>
      <c r="AR273" s="1128"/>
      <c r="AS273" s="1128"/>
      <c r="AT273" s="1129"/>
    </row>
    <row r="274" spans="2:46" ht="17.25" hidden="1" customHeight="1">
      <c r="B274" s="180" t="s">
        <v>1933</v>
      </c>
      <c r="D274" s="1">
        <v>0</v>
      </c>
      <c r="AB274" s="1127"/>
      <c r="AC274" s="1128"/>
      <c r="AD274" s="1128"/>
      <c r="AE274" s="1128"/>
      <c r="AF274" s="1128"/>
      <c r="AG274" s="1128"/>
      <c r="AH274" s="1128"/>
      <c r="AI274" s="1128"/>
      <c r="AJ274" s="1128"/>
      <c r="AK274" s="1128"/>
      <c r="AL274" s="1128"/>
      <c r="AM274" s="1128"/>
      <c r="AN274" s="1128"/>
      <c r="AO274" s="1128"/>
      <c r="AP274" s="1128"/>
      <c r="AQ274" s="1128"/>
      <c r="AR274" s="1128"/>
      <c r="AS274" s="1128"/>
      <c r="AT274" s="1129"/>
    </row>
    <row r="275" spans="2:46" ht="17.25" hidden="1" customHeight="1">
      <c r="B275" s="180" t="s">
        <v>1933</v>
      </c>
      <c r="D275" s="1">
        <v>0</v>
      </c>
      <c r="AB275" s="1127"/>
      <c r="AC275" s="1128"/>
      <c r="AD275" s="1128"/>
      <c r="AE275" s="1128"/>
      <c r="AF275" s="1128"/>
      <c r="AG275" s="1128"/>
      <c r="AH275" s="1128"/>
      <c r="AI275" s="1128"/>
      <c r="AJ275" s="1128"/>
      <c r="AK275" s="1128"/>
      <c r="AL275" s="1128"/>
      <c r="AM275" s="1128"/>
      <c r="AN275" s="1128"/>
      <c r="AO275" s="1128"/>
      <c r="AP275" s="1128"/>
      <c r="AQ275" s="1128"/>
      <c r="AR275" s="1128"/>
      <c r="AS275" s="1128"/>
      <c r="AT275" s="1129"/>
    </row>
    <row r="276" spans="2:46" ht="19.5" hidden="1" customHeight="1">
      <c r="B276" s="180" t="s">
        <v>1933</v>
      </c>
      <c r="D276" s="1">
        <v>0</v>
      </c>
      <c r="AB276" s="832" t="s">
        <v>1935</v>
      </c>
      <c r="AC276" s="781"/>
      <c r="AD276" s="781"/>
      <c r="AE276" s="781"/>
      <c r="AF276" s="781"/>
      <c r="AG276" s="781"/>
      <c r="AH276" s="781"/>
      <c r="AI276" s="781"/>
      <c r="AJ276" s="781"/>
      <c r="AK276" s="781"/>
      <c r="AL276" s="781"/>
      <c r="AM276" s="781"/>
      <c r="AN276" s="781"/>
      <c r="AO276" s="781"/>
      <c r="AP276" s="781"/>
      <c r="AQ276" s="781"/>
    </row>
    <row r="277" spans="2:46" ht="17.25" hidden="1" customHeight="1">
      <c r="B277" s="180" t="s">
        <v>1933</v>
      </c>
      <c r="D277" s="1">
        <v>0</v>
      </c>
      <c r="AB277" s="1127"/>
      <c r="AC277" s="1128"/>
      <c r="AD277" s="1128"/>
      <c r="AE277" s="1128"/>
      <c r="AF277" s="1128"/>
      <c r="AG277" s="1128"/>
      <c r="AH277" s="1128"/>
      <c r="AI277" s="1128"/>
      <c r="AJ277" s="1128"/>
      <c r="AK277" s="1128"/>
      <c r="AL277" s="1128"/>
      <c r="AM277" s="1128"/>
      <c r="AN277" s="1128"/>
      <c r="AO277" s="1128"/>
      <c r="AP277" s="1128"/>
      <c r="AQ277" s="1128"/>
      <c r="AR277" s="1128"/>
      <c r="AS277" s="1128"/>
      <c r="AT277" s="1129"/>
    </row>
    <row r="278" spans="2:46" ht="17.25" hidden="1" customHeight="1">
      <c r="B278" s="180" t="s">
        <v>1933</v>
      </c>
      <c r="D278" s="1">
        <v>0</v>
      </c>
      <c r="AB278" s="1127"/>
      <c r="AC278" s="1128"/>
      <c r="AD278" s="1128"/>
      <c r="AE278" s="1128"/>
      <c r="AF278" s="1128"/>
      <c r="AG278" s="1128"/>
      <c r="AH278" s="1128"/>
      <c r="AI278" s="1128"/>
      <c r="AJ278" s="1128"/>
      <c r="AK278" s="1128"/>
      <c r="AL278" s="1128"/>
      <c r="AM278" s="1128"/>
      <c r="AN278" s="1128"/>
      <c r="AO278" s="1128"/>
      <c r="AP278" s="1128"/>
      <c r="AQ278" s="1128"/>
      <c r="AR278" s="1128"/>
      <c r="AS278" s="1128"/>
      <c r="AT278" s="1129"/>
    </row>
    <row r="279" spans="2:46" ht="17.25" hidden="1" customHeight="1">
      <c r="B279" s="180" t="s">
        <v>1933</v>
      </c>
      <c r="D279" s="1">
        <v>0</v>
      </c>
      <c r="AB279" s="1127"/>
      <c r="AC279" s="1128"/>
      <c r="AD279" s="1128"/>
      <c r="AE279" s="1128"/>
      <c r="AF279" s="1128"/>
      <c r="AG279" s="1128"/>
      <c r="AH279" s="1128"/>
      <c r="AI279" s="1128"/>
      <c r="AJ279" s="1128"/>
      <c r="AK279" s="1128"/>
      <c r="AL279" s="1128"/>
      <c r="AM279" s="1128"/>
      <c r="AN279" s="1128"/>
      <c r="AO279" s="1128"/>
      <c r="AP279" s="1128"/>
      <c r="AQ279" s="1128"/>
      <c r="AR279" s="1128"/>
      <c r="AS279" s="1128"/>
      <c r="AT279" s="1129"/>
    </row>
    <row r="280" spans="2:46" ht="17.25" hidden="1" customHeight="1">
      <c r="B280" s="180" t="s">
        <v>1933</v>
      </c>
      <c r="D280" s="1">
        <v>0</v>
      </c>
      <c r="AB280" s="1127"/>
      <c r="AC280" s="1128"/>
      <c r="AD280" s="1128"/>
      <c r="AE280" s="1128"/>
      <c r="AF280" s="1128"/>
      <c r="AG280" s="1128"/>
      <c r="AH280" s="1128"/>
      <c r="AI280" s="1128"/>
      <c r="AJ280" s="1128"/>
      <c r="AK280" s="1128"/>
      <c r="AL280" s="1128"/>
      <c r="AM280" s="1128"/>
      <c r="AN280" s="1128"/>
      <c r="AO280" s="1128"/>
      <c r="AP280" s="1128"/>
      <c r="AQ280" s="1128"/>
      <c r="AR280" s="1128"/>
      <c r="AS280" s="1128"/>
      <c r="AT280" s="1129"/>
    </row>
    <row r="281" spans="2:46" ht="19.5" hidden="1" customHeight="1">
      <c r="B281" s="180" t="s">
        <v>1933</v>
      </c>
      <c r="D281" s="1">
        <v>0</v>
      </c>
      <c r="AB281" s="832" t="s">
        <v>1936</v>
      </c>
      <c r="AC281" s="781"/>
      <c r="AD281" s="781"/>
      <c r="AE281" s="781"/>
      <c r="AF281" s="781"/>
      <c r="AG281" s="781"/>
      <c r="AH281" s="781"/>
      <c r="AI281" s="781"/>
      <c r="AJ281" s="781"/>
      <c r="AK281" s="781"/>
      <c r="AL281" s="781"/>
      <c r="AM281" s="781"/>
      <c r="AN281" s="781"/>
      <c r="AO281" s="781"/>
      <c r="AP281" s="781"/>
      <c r="AQ281" s="781"/>
    </row>
    <row r="282" spans="2:46" ht="17.25" hidden="1" customHeight="1">
      <c r="B282" s="180" t="s">
        <v>1933</v>
      </c>
      <c r="D282" s="1">
        <v>0</v>
      </c>
      <c r="AB282" s="1127"/>
      <c r="AC282" s="1128"/>
      <c r="AD282" s="1128"/>
      <c r="AE282" s="1128"/>
      <c r="AF282" s="1128"/>
      <c r="AG282" s="1128"/>
      <c r="AH282" s="1128"/>
      <c r="AI282" s="1128"/>
      <c r="AJ282" s="1128"/>
      <c r="AK282" s="1128"/>
      <c r="AL282" s="1128"/>
      <c r="AM282" s="1128"/>
      <c r="AN282" s="1128"/>
      <c r="AO282" s="1128"/>
      <c r="AP282" s="1128"/>
      <c r="AQ282" s="1128"/>
      <c r="AR282" s="1128"/>
      <c r="AS282" s="1128"/>
      <c r="AT282" s="1129"/>
    </row>
    <row r="283" spans="2:46" ht="17.25" hidden="1" customHeight="1">
      <c r="B283" s="180" t="s">
        <v>1933</v>
      </c>
      <c r="D283" s="1">
        <v>0</v>
      </c>
      <c r="AB283" s="1127"/>
      <c r="AC283" s="1128"/>
      <c r="AD283" s="1128"/>
      <c r="AE283" s="1128"/>
      <c r="AF283" s="1128"/>
      <c r="AG283" s="1128"/>
      <c r="AH283" s="1128"/>
      <c r="AI283" s="1128"/>
      <c r="AJ283" s="1128"/>
      <c r="AK283" s="1128"/>
      <c r="AL283" s="1128"/>
      <c r="AM283" s="1128"/>
      <c r="AN283" s="1128"/>
      <c r="AO283" s="1128"/>
      <c r="AP283" s="1128"/>
      <c r="AQ283" s="1128"/>
      <c r="AR283" s="1128"/>
      <c r="AS283" s="1128"/>
      <c r="AT283" s="1129"/>
    </row>
    <row r="284" spans="2:46" ht="17.25" hidden="1" customHeight="1">
      <c r="B284" s="180" t="s">
        <v>1933</v>
      </c>
      <c r="D284" s="1">
        <v>0</v>
      </c>
      <c r="AB284" s="1127"/>
      <c r="AC284" s="1128"/>
      <c r="AD284" s="1128"/>
      <c r="AE284" s="1128"/>
      <c r="AF284" s="1128"/>
      <c r="AG284" s="1128"/>
      <c r="AH284" s="1128"/>
      <c r="AI284" s="1128"/>
      <c r="AJ284" s="1128"/>
      <c r="AK284" s="1128"/>
      <c r="AL284" s="1128"/>
      <c r="AM284" s="1128"/>
      <c r="AN284" s="1128"/>
      <c r="AO284" s="1128"/>
      <c r="AP284" s="1128"/>
      <c r="AQ284" s="1128"/>
      <c r="AR284" s="1128"/>
      <c r="AS284" s="1128"/>
      <c r="AT284" s="1129"/>
    </row>
    <row r="285" spans="2:46" ht="17.25" hidden="1" customHeight="1">
      <c r="B285" s="180" t="s">
        <v>1933</v>
      </c>
      <c r="D285" s="1">
        <v>0</v>
      </c>
      <c r="AB285" s="1127"/>
      <c r="AC285" s="1128"/>
      <c r="AD285" s="1128"/>
      <c r="AE285" s="1128"/>
      <c r="AF285" s="1128"/>
      <c r="AG285" s="1128"/>
      <c r="AH285" s="1128"/>
      <c r="AI285" s="1128"/>
      <c r="AJ285" s="1128"/>
      <c r="AK285" s="1128"/>
      <c r="AL285" s="1128"/>
      <c r="AM285" s="1128"/>
      <c r="AN285" s="1128"/>
      <c r="AO285" s="1128"/>
      <c r="AP285" s="1128"/>
      <c r="AQ285" s="1128"/>
      <c r="AR285" s="1128"/>
      <c r="AS285" s="1128"/>
      <c r="AT285" s="1129"/>
    </row>
    <row r="286" spans="2:46" ht="17.25" hidden="1" customHeight="1">
      <c r="B286" s="180" t="s">
        <v>1933</v>
      </c>
      <c r="D286" s="1">
        <v>0</v>
      </c>
      <c r="AB286" s="1127"/>
      <c r="AC286" s="1128"/>
      <c r="AD286" s="1128"/>
      <c r="AE286" s="1128"/>
      <c r="AF286" s="1128"/>
      <c r="AG286" s="1128"/>
      <c r="AH286" s="1128"/>
      <c r="AI286" s="1128"/>
      <c r="AJ286" s="1128"/>
      <c r="AK286" s="1128"/>
      <c r="AL286" s="1128"/>
      <c r="AM286" s="1128"/>
      <c r="AN286" s="1128"/>
      <c r="AO286" s="1128"/>
      <c r="AP286" s="1128"/>
      <c r="AQ286" s="1128"/>
      <c r="AR286" s="1128"/>
      <c r="AS286" s="1128"/>
      <c r="AT286" s="1129"/>
    </row>
    <row r="287" spans="2:46" ht="19.5" hidden="1" customHeight="1">
      <c r="B287" s="180" t="s">
        <v>1933</v>
      </c>
      <c r="D287" s="1">
        <v>0</v>
      </c>
      <c r="AB287" s="832" t="s">
        <v>1937</v>
      </c>
      <c r="AC287" s="781"/>
      <c r="AD287" s="781"/>
      <c r="AE287" s="781"/>
      <c r="AF287" s="781"/>
      <c r="AG287" s="781"/>
      <c r="AH287" s="781"/>
      <c r="AI287" s="781"/>
      <c r="AJ287" s="781"/>
      <c r="AK287" s="781"/>
      <c r="AL287" s="781"/>
      <c r="AM287" s="781"/>
      <c r="AN287" s="781"/>
      <c r="AO287" s="781"/>
      <c r="AP287" s="781"/>
      <c r="AQ287" s="781"/>
    </row>
    <row r="288" spans="2:46" ht="17.25" hidden="1" customHeight="1">
      <c r="B288" s="180" t="s">
        <v>1933</v>
      </c>
      <c r="D288" s="1">
        <v>0</v>
      </c>
      <c r="AB288" s="1127"/>
      <c r="AC288" s="1128"/>
      <c r="AD288" s="1128"/>
      <c r="AE288" s="1128"/>
      <c r="AF288" s="1128"/>
      <c r="AG288" s="1128"/>
      <c r="AH288" s="1128"/>
      <c r="AI288" s="1128"/>
      <c r="AJ288" s="1128"/>
      <c r="AK288" s="1128"/>
      <c r="AL288" s="1128"/>
      <c r="AM288" s="1128"/>
      <c r="AN288" s="1128"/>
      <c r="AO288" s="1128"/>
      <c r="AP288" s="1128"/>
      <c r="AQ288" s="1128"/>
      <c r="AR288" s="1128"/>
      <c r="AS288" s="1128"/>
      <c r="AT288" s="1129"/>
    </row>
    <row r="289" spans="2:46" ht="17.25" hidden="1" customHeight="1">
      <c r="B289" s="180" t="s">
        <v>1933</v>
      </c>
      <c r="D289" s="1">
        <v>0</v>
      </c>
      <c r="AB289" s="1127"/>
      <c r="AC289" s="1128"/>
      <c r="AD289" s="1128"/>
      <c r="AE289" s="1128"/>
      <c r="AF289" s="1128"/>
      <c r="AG289" s="1128"/>
      <c r="AH289" s="1128"/>
      <c r="AI289" s="1128"/>
      <c r="AJ289" s="1128"/>
      <c r="AK289" s="1128"/>
      <c r="AL289" s="1128"/>
      <c r="AM289" s="1128"/>
      <c r="AN289" s="1128"/>
      <c r="AO289" s="1128"/>
      <c r="AP289" s="1128"/>
      <c r="AQ289" s="1128"/>
      <c r="AR289" s="1128"/>
      <c r="AS289" s="1128"/>
      <c r="AT289" s="1129"/>
    </row>
    <row r="290" spans="2:46" ht="17.25" hidden="1" customHeight="1">
      <c r="B290" s="180" t="s">
        <v>1933</v>
      </c>
      <c r="D290" s="1">
        <v>0</v>
      </c>
      <c r="AB290" s="1127"/>
      <c r="AC290" s="1128"/>
      <c r="AD290" s="1128"/>
      <c r="AE290" s="1128"/>
      <c r="AF290" s="1128"/>
      <c r="AG290" s="1128"/>
      <c r="AH290" s="1128"/>
      <c r="AI290" s="1128"/>
      <c r="AJ290" s="1128"/>
      <c r="AK290" s="1128"/>
      <c r="AL290" s="1128"/>
      <c r="AM290" s="1128"/>
      <c r="AN290" s="1128"/>
      <c r="AO290" s="1128"/>
      <c r="AP290" s="1128"/>
      <c r="AQ290" s="1128"/>
      <c r="AR290" s="1128"/>
      <c r="AS290" s="1128"/>
      <c r="AT290" s="1129"/>
    </row>
    <row r="291" spans="2:46" ht="5.25" hidden="1" customHeight="1">
      <c r="B291" s="180" t="s">
        <v>1933</v>
      </c>
      <c r="D291" s="1">
        <v>0</v>
      </c>
      <c r="AB291" s="1127"/>
      <c r="AC291" s="1128"/>
      <c r="AD291" s="1128"/>
      <c r="AE291" s="1128"/>
      <c r="AF291" s="1128"/>
      <c r="AG291" s="1128"/>
      <c r="AH291" s="1128"/>
      <c r="AI291" s="1128"/>
      <c r="AJ291" s="1128"/>
      <c r="AK291" s="1128"/>
      <c r="AL291" s="1128"/>
      <c r="AM291" s="1128"/>
      <c r="AN291" s="1128"/>
      <c r="AO291" s="1128"/>
      <c r="AP291" s="1128"/>
      <c r="AQ291" s="1128"/>
      <c r="AR291" s="1128"/>
      <c r="AS291" s="1128"/>
      <c r="AT291" s="1129"/>
    </row>
    <row r="292" spans="2:46" ht="27" customHeight="1">
      <c r="B292" s="180" t="s">
        <v>1938</v>
      </c>
      <c r="D292" s="1">
        <v>44</v>
      </c>
      <c r="AB292" s="1071" t="s">
        <v>1723</v>
      </c>
      <c r="AC292" s="1071"/>
      <c r="AD292" s="1071"/>
      <c r="AE292" s="1071"/>
      <c r="AF292" s="1071"/>
      <c r="AG292" s="1071"/>
      <c r="AH292" s="1071"/>
      <c r="AI292" s="1071"/>
      <c r="AJ292" s="1071"/>
      <c r="AK292" s="1071"/>
      <c r="AL292" s="1071"/>
      <c r="AM292" s="1071"/>
      <c r="AN292" s="1071"/>
      <c r="AO292" s="1071"/>
      <c r="AP292" s="1071"/>
      <c r="AQ292" s="1071"/>
      <c r="AR292" s="1071"/>
      <c r="AS292" s="1071"/>
      <c r="AT292" s="1071"/>
    </row>
    <row r="293" spans="2:46" ht="29.25" customHeight="1">
      <c r="B293" s="180" t="s">
        <v>1938</v>
      </c>
      <c r="D293" s="1">
        <v>47</v>
      </c>
      <c r="AB293" s="832" t="s">
        <v>1724</v>
      </c>
      <c r="AC293" s="781"/>
      <c r="AD293" s="781"/>
      <c r="AE293" s="781"/>
      <c r="AF293" s="781"/>
      <c r="AG293" s="781"/>
      <c r="AH293" s="781"/>
      <c r="AI293" s="781"/>
      <c r="AJ293" s="781"/>
      <c r="AK293" s="781"/>
      <c r="AL293" s="781"/>
      <c r="AM293" s="781"/>
      <c r="AN293" s="781"/>
      <c r="AO293" s="781"/>
      <c r="AP293" s="781"/>
      <c r="AQ293" s="781"/>
      <c r="AR293" s="781"/>
      <c r="AS293" s="781"/>
      <c r="AT293" s="781"/>
    </row>
    <row r="294" spans="2:46" ht="29.25" customHeight="1">
      <c r="D294" s="1">
        <v>47</v>
      </c>
      <c r="AB294" s="832" t="s">
        <v>1725</v>
      </c>
      <c r="AC294" s="781"/>
      <c r="AD294" s="781"/>
      <c r="AE294" s="781"/>
      <c r="AF294" s="781"/>
      <c r="AG294" s="781"/>
      <c r="AH294" s="781"/>
      <c r="AI294" s="781"/>
      <c r="AJ294" s="781"/>
      <c r="AK294" s="781"/>
      <c r="AL294" s="781"/>
      <c r="AM294" s="781"/>
      <c r="AN294" s="781"/>
      <c r="AO294" s="781"/>
      <c r="AP294" s="781"/>
      <c r="AQ294" s="781"/>
    </row>
    <row r="295" spans="2:46" ht="20.25" customHeight="1">
      <c r="D295" s="1">
        <v>32</v>
      </c>
      <c r="AB295" s="820"/>
      <c r="AC295" s="1101"/>
      <c r="AD295" s="821"/>
      <c r="AE295" s="825" t="s">
        <v>1435</v>
      </c>
      <c r="AF295" s="66">
        <v>2018</v>
      </c>
      <c r="AG295" s="66">
        <v>2018</v>
      </c>
      <c r="AH295" s="66">
        <v>2019</v>
      </c>
      <c r="AI295" s="66">
        <v>2019</v>
      </c>
      <c r="AJ295" s="66">
        <v>2020</v>
      </c>
      <c r="AK295" s="66">
        <v>2021</v>
      </c>
      <c r="AL295" s="66">
        <v>2021</v>
      </c>
    </row>
    <row r="296" spans="2:46" ht="26.25" customHeight="1">
      <c r="D296" s="1">
        <v>42</v>
      </c>
      <c r="AB296" s="823"/>
      <c r="AC296" s="1102"/>
      <c r="AD296" s="824"/>
      <c r="AE296" s="847"/>
      <c r="AF296" s="66" t="s">
        <v>1639</v>
      </c>
      <c r="AG296" s="66" t="s">
        <v>753</v>
      </c>
      <c r="AH296" s="66" t="s">
        <v>1639</v>
      </c>
      <c r="AI296" s="66" t="s">
        <v>753</v>
      </c>
      <c r="AJ296" s="66" t="s">
        <v>1437</v>
      </c>
      <c r="AK296" s="66" t="s">
        <v>752</v>
      </c>
      <c r="AL296" s="66" t="s">
        <v>1437</v>
      </c>
    </row>
    <row r="297" spans="2:46" ht="29.25" customHeight="1">
      <c r="D297" s="1">
        <v>47</v>
      </c>
      <c r="AB297" s="66" t="s">
        <v>528</v>
      </c>
      <c r="AC297" s="796" t="s">
        <v>1030</v>
      </c>
      <c r="AD297" s="796"/>
      <c r="AE297" s="66" t="s">
        <v>916</v>
      </c>
      <c r="AF297" s="369"/>
      <c r="AG297" s="369"/>
      <c r="AH297" s="161">
        <v>0</v>
      </c>
      <c r="AI297" s="161">
        <v>0</v>
      </c>
      <c r="AJ297" s="161">
        <v>0</v>
      </c>
      <c r="AK297" s="161">
        <v>0</v>
      </c>
      <c r="AL297" s="161">
        <v>0</v>
      </c>
    </row>
    <row r="298" spans="2:46" ht="28.5" customHeight="1">
      <c r="D298" s="1">
        <v>45</v>
      </c>
      <c r="AB298" s="66" t="s">
        <v>530</v>
      </c>
      <c r="AC298" s="796" t="s">
        <v>933</v>
      </c>
      <c r="AD298" s="796"/>
      <c r="AE298" s="66" t="s">
        <v>916</v>
      </c>
      <c r="AF298" s="369"/>
      <c r="AG298" s="369"/>
      <c r="AH298" s="161">
        <v>0</v>
      </c>
      <c r="AI298" s="161">
        <v>0</v>
      </c>
      <c r="AJ298" s="161">
        <v>0</v>
      </c>
      <c r="AK298" s="161">
        <v>0</v>
      </c>
      <c r="AL298" s="161">
        <v>0</v>
      </c>
    </row>
    <row r="299" spans="2:46" ht="21.75" customHeight="1">
      <c r="D299" s="1">
        <v>36</v>
      </c>
      <c r="AB299" s="66"/>
      <c r="AC299" s="796" t="s">
        <v>934</v>
      </c>
      <c r="AD299" s="796"/>
      <c r="AE299" s="66" t="s">
        <v>633</v>
      </c>
      <c r="AF299" s="369"/>
      <c r="AG299" s="369"/>
      <c r="AH299" s="161">
        <v>0</v>
      </c>
      <c r="AI299" s="161">
        <v>0</v>
      </c>
      <c r="AJ299" s="161">
        <v>0</v>
      </c>
      <c r="AK299" s="161">
        <v>0</v>
      </c>
      <c r="AL299" s="161">
        <v>0</v>
      </c>
    </row>
    <row r="300" spans="2:46" ht="26.25" customHeight="1">
      <c r="D300" s="1">
        <v>42</v>
      </c>
      <c r="AB300" s="66" t="s">
        <v>534</v>
      </c>
      <c r="AC300" s="796" t="s">
        <v>937</v>
      </c>
      <c r="AD300" s="796"/>
      <c r="AE300" s="66" t="s">
        <v>916</v>
      </c>
      <c r="AF300" s="369"/>
      <c r="AG300" s="369"/>
      <c r="AH300" s="161">
        <v>0</v>
      </c>
      <c r="AI300" s="161">
        <v>0</v>
      </c>
      <c r="AJ300" s="161">
        <v>0</v>
      </c>
      <c r="AK300" s="161">
        <v>0</v>
      </c>
      <c r="AL300" s="161">
        <v>0</v>
      </c>
    </row>
    <row r="301" spans="2:46" ht="28.5" customHeight="1">
      <c r="D301" s="1">
        <v>45</v>
      </c>
    </row>
    <row r="302" spans="2:46" ht="15" hidden="1" customHeight="1">
      <c r="D302" s="1">
        <v>0</v>
      </c>
      <c r="AB302" s="781"/>
      <c r="AC302" s="781"/>
      <c r="AD302" s="781"/>
      <c r="AE302" s="781"/>
      <c r="AF302" s="781"/>
      <c r="AG302" s="781"/>
      <c r="AH302" s="781"/>
      <c r="AI302" s="781"/>
      <c r="AJ302" s="781"/>
      <c r="AK302" s="781"/>
      <c r="AL302" s="781"/>
      <c r="AM302" s="781"/>
      <c r="AN302" s="781"/>
      <c r="AO302" s="781"/>
      <c r="AP302" s="781"/>
      <c r="AQ302" s="781"/>
    </row>
    <row r="303" spans="2:46" ht="31.5" customHeight="1">
      <c r="D303" s="1">
        <v>52</v>
      </c>
      <c r="AB303" s="832" t="s">
        <v>1727</v>
      </c>
      <c r="AC303" s="781"/>
      <c r="AD303" s="781"/>
      <c r="AE303" s="781"/>
      <c r="AF303" s="781"/>
      <c r="AG303" s="781"/>
      <c r="AH303" s="781"/>
      <c r="AI303" s="781"/>
      <c r="AJ303" s="781"/>
      <c r="AK303" s="781"/>
      <c r="AL303" s="781"/>
      <c r="AM303" s="781"/>
      <c r="AN303" s="781"/>
      <c r="AO303" s="781"/>
      <c r="AP303" s="781"/>
      <c r="AQ303" s="781"/>
    </row>
    <row r="304" spans="2:46" ht="18.75" hidden="1" customHeight="1">
      <c r="D304" s="1">
        <v>0</v>
      </c>
      <c r="AB304" s="105">
        <v>0</v>
      </c>
    </row>
    <row r="305" spans="4:43" ht="22.5" customHeight="1">
      <c r="D305" s="1">
        <v>36</v>
      </c>
      <c r="AB305" s="781" t="s">
        <v>507</v>
      </c>
      <c r="AC305" s="781"/>
      <c r="AD305" s="781"/>
      <c r="AE305" s="781"/>
      <c r="AF305" s="781"/>
      <c r="AG305" s="781"/>
      <c r="AH305" s="781"/>
      <c r="AI305" s="781"/>
      <c r="AJ305" s="781"/>
      <c r="AK305" s="781"/>
      <c r="AL305" s="781"/>
      <c r="AM305" s="781"/>
      <c r="AN305" s="781"/>
      <c r="AO305" s="781"/>
      <c r="AP305" s="781"/>
      <c r="AQ305" s="781"/>
    </row>
    <row r="306" spans="4:43" ht="18" customHeight="1">
      <c r="D306" s="1">
        <v>29</v>
      </c>
      <c r="AB306" s="1048" t="s">
        <v>1640</v>
      </c>
      <c r="AC306" s="781"/>
      <c r="AD306" s="781"/>
      <c r="AE306" s="781"/>
      <c r="AF306" s="781"/>
      <c r="AG306" s="781"/>
      <c r="AH306" s="781"/>
      <c r="AI306" s="781"/>
      <c r="AJ306" s="781"/>
      <c r="AK306" s="781"/>
      <c r="AL306" s="781"/>
      <c r="AM306" s="781"/>
      <c r="AN306" s="781"/>
      <c r="AO306" s="781"/>
      <c r="AP306" s="781"/>
      <c r="AQ306" s="781"/>
    </row>
    <row r="307" spans="4:43" ht="31.5" customHeight="1">
      <c r="D307" s="1">
        <v>52</v>
      </c>
      <c r="AB307" s="832" t="s">
        <v>1939</v>
      </c>
      <c r="AC307" s="781"/>
      <c r="AD307" s="781"/>
      <c r="AE307" s="781"/>
      <c r="AF307" s="781"/>
      <c r="AG307" s="781"/>
      <c r="AH307" s="781"/>
      <c r="AI307" s="781"/>
      <c r="AJ307" s="781"/>
      <c r="AK307" s="781"/>
      <c r="AL307" s="781"/>
      <c r="AM307" s="781"/>
      <c r="AN307" s="781"/>
      <c r="AO307" s="781"/>
      <c r="AP307" s="781"/>
      <c r="AQ307" s="781"/>
    </row>
    <row r="308" spans="4:43" ht="18" customHeight="1">
      <c r="D308" s="1">
        <v>29</v>
      </c>
      <c r="AB308" s="832" t="s">
        <v>1940</v>
      </c>
      <c r="AC308" s="781"/>
      <c r="AD308" s="781"/>
      <c r="AE308" s="781"/>
      <c r="AF308" s="781"/>
      <c r="AG308" s="781"/>
      <c r="AH308" s="781"/>
      <c r="AI308" s="781"/>
      <c r="AJ308" s="781"/>
      <c r="AK308" s="781"/>
      <c r="AL308" s="781"/>
      <c r="AM308" s="781"/>
      <c r="AN308" s="781"/>
      <c r="AO308" s="781"/>
      <c r="AP308" s="781"/>
      <c r="AQ308" s="781"/>
    </row>
    <row r="309" spans="4:43" ht="28.5" customHeight="1">
      <c r="D309" s="1">
        <v>45</v>
      </c>
    </row>
    <row r="310" spans="4:43" ht="25.5" customHeight="1">
      <c r="D310" s="1">
        <v>42</v>
      </c>
      <c r="AB310" s="1078" t="s">
        <v>1641</v>
      </c>
      <c r="AC310" s="781"/>
      <c r="AD310" s="781"/>
      <c r="AE310" s="781"/>
      <c r="AF310" s="781"/>
      <c r="AG310" s="781"/>
      <c r="AH310" s="781"/>
      <c r="AI310" s="781"/>
      <c r="AJ310" s="781"/>
      <c r="AK310" s="781"/>
      <c r="AL310" s="781"/>
      <c r="AM310" s="781"/>
      <c r="AN310" s="781"/>
      <c r="AO310" s="781"/>
      <c r="AP310" s="781"/>
      <c r="AQ310" s="781"/>
    </row>
    <row r="311" spans="4:43" ht="11.25" customHeight="1">
      <c r="D311" s="1">
        <v>18</v>
      </c>
    </row>
    <row r="312" spans="4:43" ht="14.25" customHeight="1">
      <c r="D312" s="1">
        <v>23</v>
      </c>
      <c r="AB312" s="1078" t="s">
        <v>1642</v>
      </c>
      <c r="AC312" s="781"/>
      <c r="AD312" s="781"/>
      <c r="AE312" s="781"/>
      <c r="AF312" s="781"/>
      <c r="AG312" s="781"/>
      <c r="AH312" s="781"/>
      <c r="AI312" s="781"/>
      <c r="AJ312" s="781"/>
      <c r="AK312" s="781"/>
      <c r="AL312" s="781"/>
      <c r="AM312" s="781"/>
      <c r="AN312" s="781"/>
      <c r="AO312" s="781"/>
      <c r="AP312" s="781"/>
      <c r="AQ312" s="781"/>
    </row>
    <row r="313" spans="4:43" ht="14.25" customHeight="1">
      <c r="D313" s="1">
        <v>23</v>
      </c>
    </row>
    <row r="314" spans="4:43" ht="198" customHeight="1">
      <c r="D314" s="1">
        <v>317</v>
      </c>
      <c r="AB314" s="832" t="s">
        <v>1941</v>
      </c>
      <c r="AC314" s="781"/>
      <c r="AD314" s="781"/>
      <c r="AE314" s="781"/>
      <c r="AF314" s="781"/>
      <c r="AG314" s="781"/>
      <c r="AH314" s="781"/>
      <c r="AI314" s="781"/>
      <c r="AJ314" s="781"/>
      <c r="AK314" s="781"/>
      <c r="AL314" s="781"/>
      <c r="AM314" s="781"/>
      <c r="AN314" s="781"/>
      <c r="AO314" s="781"/>
      <c r="AP314" s="781"/>
      <c r="AQ314" s="781"/>
    </row>
    <row r="315" spans="4:43" ht="21.75" customHeight="1">
      <c r="D315" s="1">
        <v>36</v>
      </c>
      <c r="AB315" s="782" t="s">
        <v>1942</v>
      </c>
      <c r="AC315" s="781"/>
      <c r="AD315" s="781"/>
      <c r="AE315" s="781"/>
      <c r="AF315" s="781"/>
      <c r="AG315" s="781"/>
      <c r="AH315" s="781"/>
      <c r="AI315" s="781"/>
      <c r="AJ315" s="781"/>
      <c r="AK315" s="781"/>
      <c r="AL315" s="781"/>
      <c r="AM315" s="781"/>
      <c r="AN315" s="781"/>
      <c r="AO315" s="781"/>
      <c r="AP315" s="781"/>
      <c r="AQ315" s="781"/>
    </row>
    <row r="316" spans="4:43" ht="17.25" customHeight="1" outlineLevel="1">
      <c r="D316" s="1">
        <v>28</v>
      </c>
      <c r="AB316" s="832" t="s">
        <v>1795</v>
      </c>
      <c r="AC316" s="781"/>
      <c r="AD316" s="781"/>
      <c r="AE316" s="781"/>
      <c r="AF316" s="781"/>
      <c r="AG316" s="781"/>
      <c r="AH316" s="781"/>
      <c r="AI316" s="781"/>
      <c r="AJ316" s="781"/>
      <c r="AK316" s="781"/>
      <c r="AL316" s="781"/>
      <c r="AM316" s="781"/>
      <c r="AN316" s="781"/>
      <c r="AO316" s="781"/>
      <c r="AP316" s="781"/>
      <c r="AQ316" s="781"/>
    </row>
    <row r="317" spans="4:43" ht="17.25" customHeight="1" outlineLevel="1">
      <c r="D317" s="1">
        <v>28</v>
      </c>
      <c r="AB317" s="832" t="s">
        <v>1796</v>
      </c>
      <c r="AC317" s="781"/>
      <c r="AD317" s="781"/>
      <c r="AE317" s="781"/>
      <c r="AF317" s="781"/>
      <c r="AG317" s="781"/>
      <c r="AH317" s="781"/>
      <c r="AI317" s="781"/>
      <c r="AJ317" s="781"/>
      <c r="AK317" s="781"/>
      <c r="AL317" s="781"/>
      <c r="AM317" s="781"/>
      <c r="AN317" s="781"/>
      <c r="AO317" s="781"/>
      <c r="AP317" s="781"/>
      <c r="AQ317" s="781"/>
    </row>
    <row r="318" spans="4:43" ht="17.25" customHeight="1" outlineLevel="1">
      <c r="D318" s="1">
        <v>28</v>
      </c>
      <c r="AB318" s="832" t="s">
        <v>1494</v>
      </c>
      <c r="AC318" s="781"/>
      <c r="AD318" s="781"/>
      <c r="AE318" s="781"/>
      <c r="AF318" s="781"/>
      <c r="AG318" s="781"/>
      <c r="AH318" s="781"/>
      <c r="AI318" s="781"/>
      <c r="AJ318" s="781"/>
      <c r="AK318" s="781"/>
      <c r="AL318" s="781"/>
      <c r="AM318" s="781"/>
      <c r="AN318" s="781"/>
      <c r="AO318" s="781"/>
      <c r="AP318" s="781"/>
      <c r="AQ318" s="781"/>
    </row>
    <row r="319" spans="4:43" ht="17.25" customHeight="1" outlineLevel="1">
      <c r="D319" s="1">
        <v>28</v>
      </c>
      <c r="AB319" s="832" t="s">
        <v>1797</v>
      </c>
      <c r="AC319" s="781"/>
      <c r="AD319" s="781"/>
      <c r="AE319" s="781"/>
      <c r="AF319" s="781"/>
      <c r="AG319" s="781"/>
      <c r="AH319" s="781"/>
      <c r="AI319" s="781"/>
      <c r="AJ319" s="781"/>
      <c r="AK319" s="781"/>
      <c r="AL319" s="781"/>
      <c r="AM319" s="781"/>
      <c r="AN319" s="781"/>
      <c r="AO319" s="781"/>
      <c r="AP319" s="781"/>
      <c r="AQ319" s="781"/>
    </row>
    <row r="320" spans="4:43" ht="17.25" customHeight="1" outlineLevel="1">
      <c r="D320" s="1">
        <v>28</v>
      </c>
      <c r="AB320" s="832" t="s">
        <v>1798</v>
      </c>
      <c r="AC320" s="781"/>
      <c r="AD320" s="781"/>
      <c r="AE320" s="781"/>
      <c r="AF320" s="781"/>
      <c r="AG320" s="781"/>
      <c r="AH320" s="781"/>
      <c r="AI320" s="781"/>
      <c r="AJ320" s="781"/>
      <c r="AK320" s="781"/>
      <c r="AL320" s="781"/>
      <c r="AM320" s="781"/>
      <c r="AN320" s="781"/>
      <c r="AO320" s="781"/>
      <c r="AP320" s="781"/>
      <c r="AQ320" s="781"/>
    </row>
    <row r="321" spans="4:43" ht="27" customHeight="1" outlineLevel="1">
      <c r="D321" s="1">
        <v>44</v>
      </c>
      <c r="AB321" s="832" t="s">
        <v>1799</v>
      </c>
      <c r="AC321" s="781"/>
      <c r="AD321" s="781"/>
      <c r="AE321" s="781"/>
      <c r="AF321" s="781"/>
      <c r="AG321" s="781"/>
      <c r="AH321" s="781"/>
      <c r="AI321" s="781"/>
      <c r="AJ321" s="781"/>
      <c r="AK321" s="781"/>
      <c r="AL321" s="781"/>
      <c r="AM321" s="781"/>
      <c r="AN321" s="781"/>
      <c r="AO321" s="781"/>
      <c r="AP321" s="781"/>
      <c r="AQ321" s="781"/>
    </row>
    <row r="322" spans="4:43" ht="28.5" customHeight="1">
      <c r="D322" s="1">
        <v>45</v>
      </c>
      <c r="AC322" s="798"/>
      <c r="AD322" s="798"/>
      <c r="AE322" s="798"/>
      <c r="AF322" s="798"/>
      <c r="AG322" s="798"/>
      <c r="AH322" s="156">
        <v>2020</v>
      </c>
      <c r="AI322" s="66">
        <v>2021</v>
      </c>
      <c r="AJ322" s="66">
        <v>2022</v>
      </c>
      <c r="AK322" s="66">
        <v>2023</v>
      </c>
      <c r="AL322" s="66">
        <v>2024</v>
      </c>
    </row>
    <row r="323" spans="4:43" ht="28.5" customHeight="1">
      <c r="D323" s="1">
        <v>45</v>
      </c>
      <c r="AC323" s="796" t="s">
        <v>944</v>
      </c>
      <c r="AD323" s="796"/>
      <c r="AE323" s="796"/>
      <c r="AF323" s="796"/>
      <c r="AG323" s="66" t="s">
        <v>633</v>
      </c>
      <c r="AH323" s="399"/>
      <c r="AI323" s="399"/>
      <c r="AJ323" s="400">
        <v>0</v>
      </c>
      <c r="AK323" s="400">
        <v>0</v>
      </c>
      <c r="AL323" s="400">
        <v>0</v>
      </c>
    </row>
    <row r="324" spans="4:43" ht="28.5" customHeight="1">
      <c r="D324" s="1">
        <v>45</v>
      </c>
      <c r="AC324" s="796" t="s">
        <v>946</v>
      </c>
      <c r="AD324" s="796" t="s">
        <v>633</v>
      </c>
      <c r="AE324" s="796"/>
      <c r="AF324" s="796"/>
      <c r="AG324" s="66" t="s">
        <v>633</v>
      </c>
      <c r="AH324" s="399"/>
      <c r="AI324" s="399"/>
      <c r="AJ324" s="400">
        <v>0</v>
      </c>
      <c r="AK324" s="400">
        <v>0</v>
      </c>
      <c r="AL324" s="400">
        <v>0</v>
      </c>
    </row>
    <row r="325" spans="4:43" ht="28.5" customHeight="1">
      <c r="D325" s="1">
        <v>45</v>
      </c>
      <c r="AC325" s="796" t="s">
        <v>947</v>
      </c>
      <c r="AD325" s="796" t="s">
        <v>696</v>
      </c>
      <c r="AE325" s="796"/>
      <c r="AF325" s="796"/>
      <c r="AG325" s="66" t="s">
        <v>696</v>
      </c>
      <c r="AH325" s="399"/>
      <c r="AI325" s="399"/>
      <c r="AJ325" s="401">
        <v>0</v>
      </c>
      <c r="AK325" s="401">
        <v>0</v>
      </c>
      <c r="AL325" s="401">
        <v>0</v>
      </c>
    </row>
    <row r="326" spans="4:43" ht="28.5" customHeight="1">
      <c r="D326" s="1">
        <v>45</v>
      </c>
      <c r="AC326" s="796" t="s">
        <v>949</v>
      </c>
      <c r="AD326" s="796" t="s">
        <v>633</v>
      </c>
      <c r="AE326" s="796"/>
      <c r="AF326" s="796"/>
      <c r="AG326" s="66" t="s">
        <v>633</v>
      </c>
      <c r="AH326" s="399"/>
      <c r="AI326" s="399"/>
      <c r="AJ326" s="400">
        <v>0</v>
      </c>
      <c r="AK326" s="400">
        <v>0</v>
      </c>
      <c r="AL326" s="400">
        <v>0</v>
      </c>
    </row>
    <row r="327" spans="4:43" ht="28.5" customHeight="1">
      <c r="D327" s="1">
        <v>45</v>
      </c>
      <c r="AC327" s="796" t="s">
        <v>950</v>
      </c>
      <c r="AD327" s="796"/>
      <c r="AE327" s="796"/>
      <c r="AF327" s="796"/>
      <c r="AG327" s="66"/>
      <c r="AH327" s="399"/>
      <c r="AI327" s="399"/>
      <c r="AJ327" s="401">
        <v>0.75</v>
      </c>
      <c r="AK327" s="401">
        <v>0.75</v>
      </c>
      <c r="AL327" s="401">
        <v>0.75</v>
      </c>
    </row>
    <row r="328" spans="4:43" ht="28.5" customHeight="1">
      <c r="D328" s="1">
        <v>45</v>
      </c>
      <c r="AC328" s="796" t="s">
        <v>951</v>
      </c>
      <c r="AD328" s="796"/>
      <c r="AE328" s="796"/>
      <c r="AF328" s="796"/>
      <c r="AG328" s="66"/>
      <c r="AH328" s="399"/>
      <c r="AI328" s="399"/>
      <c r="AJ328" s="402">
        <v>1</v>
      </c>
      <c r="AK328" s="402">
        <v>1</v>
      </c>
      <c r="AL328" s="402">
        <v>1</v>
      </c>
    </row>
    <row r="329" spans="4:43" ht="28.5" customHeight="1">
      <c r="D329" s="1">
        <v>45</v>
      </c>
      <c r="AC329" s="796" t="s">
        <v>984</v>
      </c>
      <c r="AD329" s="796" t="s">
        <v>984</v>
      </c>
      <c r="AE329" s="796"/>
      <c r="AF329" s="796"/>
      <c r="AG329" s="66" t="s">
        <v>619</v>
      </c>
      <c r="AH329" s="399"/>
      <c r="AI329" s="399"/>
      <c r="AJ329" s="401">
        <v>0</v>
      </c>
      <c r="AK329" s="401">
        <v>0</v>
      </c>
      <c r="AL329" s="401">
        <v>0</v>
      </c>
    </row>
    <row r="330" spans="4:43" ht="28.5" customHeight="1">
      <c r="D330" s="1">
        <v>45</v>
      </c>
    </row>
    <row r="331" spans="4:43" ht="14.25" customHeight="1">
      <c r="D331" s="1">
        <v>23</v>
      </c>
      <c r="AB331" s="1078" t="s">
        <v>1495</v>
      </c>
      <c r="AC331" s="781"/>
      <c r="AD331" s="781"/>
      <c r="AE331" s="781"/>
      <c r="AF331" s="781"/>
      <c r="AG331" s="781"/>
      <c r="AH331" s="781"/>
      <c r="AI331" s="781"/>
      <c r="AJ331" s="781"/>
      <c r="AK331" s="781"/>
      <c r="AL331" s="781"/>
      <c r="AM331" s="781"/>
      <c r="AN331" s="781"/>
      <c r="AO331" s="781"/>
      <c r="AP331" s="781"/>
      <c r="AQ331" s="781"/>
    </row>
    <row r="332" spans="4:43" ht="12.75" customHeight="1">
      <c r="D332" s="1">
        <v>21</v>
      </c>
    </row>
    <row r="333" spans="4:43" ht="16.5" customHeight="1">
      <c r="D333" s="1">
        <v>26</v>
      </c>
      <c r="AB333" s="832" t="s">
        <v>1943</v>
      </c>
      <c r="AC333" s="781"/>
      <c r="AD333" s="781"/>
      <c r="AE333" s="781"/>
      <c r="AF333" s="781"/>
      <c r="AG333" s="781"/>
      <c r="AH333" s="781"/>
      <c r="AI333" s="781"/>
      <c r="AJ333" s="781"/>
      <c r="AK333" s="781"/>
      <c r="AL333" s="781"/>
      <c r="AM333" s="781"/>
      <c r="AN333" s="781"/>
      <c r="AO333" s="781"/>
      <c r="AP333" s="781"/>
      <c r="AQ333" s="781"/>
    </row>
    <row r="334" spans="4:43" ht="16.5" customHeight="1">
      <c r="D334" s="1">
        <v>26</v>
      </c>
      <c r="AB334" s="832" t="s">
        <v>1944</v>
      </c>
      <c r="AC334" s="781"/>
      <c r="AD334" s="781"/>
      <c r="AE334" s="781"/>
      <c r="AF334" s="781"/>
      <c r="AG334" s="781"/>
      <c r="AH334" s="781"/>
      <c r="AI334" s="781"/>
      <c r="AJ334" s="781"/>
      <c r="AK334" s="781"/>
      <c r="AL334" s="781"/>
      <c r="AM334" s="781"/>
      <c r="AN334" s="781"/>
      <c r="AO334" s="781"/>
      <c r="AP334" s="781"/>
      <c r="AQ334" s="781"/>
    </row>
    <row r="335" spans="4:43" ht="16.5" customHeight="1">
      <c r="D335" s="1">
        <v>26</v>
      </c>
      <c r="AB335" s="832" t="s">
        <v>1945</v>
      </c>
      <c r="AC335" s="781"/>
      <c r="AD335" s="781"/>
      <c r="AE335" s="781"/>
      <c r="AF335" s="781"/>
      <c r="AG335" s="781"/>
      <c r="AH335" s="781"/>
      <c r="AI335" s="781"/>
      <c r="AJ335" s="781"/>
      <c r="AK335" s="781"/>
      <c r="AL335" s="781"/>
      <c r="AM335" s="781"/>
      <c r="AN335" s="781"/>
      <c r="AO335" s="781"/>
      <c r="AP335" s="781"/>
      <c r="AQ335" s="781"/>
    </row>
    <row r="336" spans="4:43" ht="18.75" customHeight="1">
      <c r="D336" s="1">
        <v>31</v>
      </c>
    </row>
    <row r="337" spans="4:43" ht="15.75" customHeight="1" outlineLevel="1">
      <c r="D337" s="1">
        <v>26</v>
      </c>
      <c r="AA337" s="781"/>
      <c r="AB337" s="1080" t="s">
        <v>1510</v>
      </c>
      <c r="AC337" s="781"/>
      <c r="AD337" s="781"/>
      <c r="AE337" s="781"/>
      <c r="AF337" s="781"/>
      <c r="AG337" s="781"/>
      <c r="AH337" s="781"/>
      <c r="AI337" s="781"/>
      <c r="AJ337" s="781"/>
      <c r="AK337" s="781"/>
      <c r="AL337" s="781"/>
      <c r="AM337" s="781"/>
      <c r="AN337" s="781"/>
      <c r="AO337" s="781"/>
      <c r="AP337" s="781"/>
      <c r="AQ337" s="781"/>
    </row>
    <row r="338" spans="4:43" ht="32.25" customHeight="1" outlineLevel="1">
      <c r="D338" s="1">
        <v>52</v>
      </c>
      <c r="AA338" s="781"/>
      <c r="AB338" s="832" t="s">
        <v>1801</v>
      </c>
      <c r="AC338" s="781"/>
      <c r="AD338" s="781"/>
      <c r="AE338" s="781"/>
      <c r="AF338" s="781"/>
      <c r="AG338" s="781"/>
      <c r="AH338" s="781"/>
      <c r="AI338" s="781"/>
      <c r="AJ338" s="781"/>
      <c r="AK338" s="781"/>
      <c r="AL338" s="781"/>
      <c r="AM338" s="781"/>
      <c r="AN338" s="781"/>
      <c r="AO338" s="781"/>
      <c r="AP338" s="781"/>
      <c r="AQ338" s="781"/>
    </row>
    <row r="339" spans="4:43" ht="32.25" customHeight="1" outlineLevel="1">
      <c r="D339" s="1">
        <v>52</v>
      </c>
      <c r="AB339" s="832" t="s">
        <v>1802</v>
      </c>
      <c r="AC339" s="781"/>
      <c r="AD339" s="781"/>
      <c r="AE339" s="781"/>
      <c r="AF339" s="781"/>
      <c r="AG339" s="781"/>
      <c r="AH339" s="781"/>
      <c r="AI339" s="781"/>
      <c r="AJ339" s="781"/>
      <c r="AK339" s="781"/>
      <c r="AL339" s="781"/>
      <c r="AM339" s="781"/>
      <c r="AN339" s="781"/>
      <c r="AO339" s="781"/>
      <c r="AP339" s="781"/>
      <c r="AQ339" s="781"/>
    </row>
    <row r="340" spans="4:43" ht="32.25" customHeight="1" outlineLevel="1">
      <c r="D340" s="1">
        <v>52</v>
      </c>
      <c r="AB340" s="832" t="s">
        <v>1512</v>
      </c>
      <c r="AC340" s="781"/>
      <c r="AD340" s="781"/>
      <c r="AE340" s="781"/>
      <c r="AF340" s="781"/>
      <c r="AG340" s="781"/>
      <c r="AH340" s="781"/>
      <c r="AI340" s="781"/>
      <c r="AJ340" s="781"/>
      <c r="AK340" s="781"/>
      <c r="AL340" s="781"/>
      <c r="AM340" s="781"/>
      <c r="AN340" s="781"/>
      <c r="AO340" s="781"/>
      <c r="AP340" s="781"/>
      <c r="AQ340" s="781"/>
    </row>
    <row r="341" spans="4:43" ht="28.5" customHeight="1" outlineLevel="1">
      <c r="D341" s="1">
        <v>45</v>
      </c>
      <c r="AB341" s="832" t="s">
        <v>1946</v>
      </c>
      <c r="AC341" s="781"/>
      <c r="AD341" s="781"/>
      <c r="AE341" s="781"/>
      <c r="AF341" s="781"/>
      <c r="AG341" s="781"/>
      <c r="AH341" s="781"/>
      <c r="AI341" s="781"/>
      <c r="AJ341" s="781"/>
      <c r="AK341" s="781"/>
      <c r="AL341" s="781"/>
      <c r="AM341" s="781"/>
      <c r="AN341" s="781"/>
      <c r="AO341" s="781"/>
      <c r="AP341" s="781"/>
      <c r="AQ341" s="781"/>
    </row>
    <row r="342" spans="4:43" ht="28.5" customHeight="1" outlineLevel="1">
      <c r="D342" s="1">
        <v>45</v>
      </c>
      <c r="AB342" s="878"/>
      <c r="AC342" s="878"/>
      <c r="AD342" s="878"/>
      <c r="AE342" s="878"/>
      <c r="AF342" s="878"/>
      <c r="AG342" s="878"/>
      <c r="AH342" s="878"/>
      <c r="AI342" s="878"/>
      <c r="AJ342" s="878"/>
      <c r="AK342" s="878"/>
      <c r="AL342" s="878"/>
      <c r="AM342" s="878"/>
      <c r="AN342" s="878"/>
      <c r="AO342" s="878"/>
      <c r="AP342" s="878"/>
      <c r="AQ342" s="878"/>
    </row>
    <row r="343" spans="4:43" ht="28.5" customHeight="1" outlineLevel="1">
      <c r="D343" s="1">
        <v>45</v>
      </c>
      <c r="AB343" s="1038"/>
      <c r="AC343" s="1038"/>
      <c r="AD343" s="1038"/>
      <c r="AE343" s="1038"/>
      <c r="AF343" s="1038"/>
      <c r="AG343" s="1038"/>
      <c r="AH343" s="1038"/>
      <c r="AI343" s="1038"/>
      <c r="AJ343" s="1038"/>
      <c r="AK343" s="1038"/>
      <c r="AL343" s="1038"/>
      <c r="AM343" s="1038"/>
      <c r="AN343" s="1038"/>
      <c r="AO343" s="1038"/>
      <c r="AP343" s="1038"/>
      <c r="AQ343" s="1038"/>
    </row>
    <row r="344" spans="4:43" ht="28.5" customHeight="1" outlineLevel="1">
      <c r="D344" s="1">
        <v>45</v>
      </c>
      <c r="AB344" s="832" t="s">
        <v>1947</v>
      </c>
      <c r="AC344" s="781"/>
      <c r="AD344" s="781"/>
      <c r="AE344" s="781"/>
      <c r="AF344" s="781"/>
      <c r="AG344" s="781"/>
      <c r="AH344" s="781"/>
      <c r="AI344" s="781"/>
      <c r="AJ344" s="781"/>
      <c r="AK344" s="781"/>
      <c r="AL344" s="781"/>
      <c r="AM344" s="781"/>
      <c r="AN344" s="781"/>
      <c r="AO344" s="781"/>
      <c r="AP344" s="781"/>
      <c r="AQ344" s="781"/>
    </row>
    <row r="345" spans="4:43" ht="28.5" customHeight="1" outlineLevel="1">
      <c r="D345" s="1">
        <v>45</v>
      </c>
      <c r="AB345" s="878"/>
      <c r="AC345" s="878"/>
      <c r="AD345" s="878"/>
      <c r="AE345" s="878"/>
      <c r="AF345" s="878"/>
      <c r="AG345" s="878"/>
      <c r="AH345" s="878"/>
      <c r="AI345" s="878"/>
      <c r="AJ345" s="878"/>
      <c r="AK345" s="878"/>
      <c r="AL345" s="878"/>
      <c r="AM345" s="878"/>
      <c r="AN345" s="878"/>
      <c r="AO345" s="878"/>
      <c r="AP345" s="878"/>
      <c r="AQ345" s="878"/>
    </row>
    <row r="346" spans="4:43" ht="28.5" customHeight="1" outlineLevel="1">
      <c r="D346" s="1">
        <v>45</v>
      </c>
      <c r="AB346" s="1038"/>
      <c r="AC346" s="1038"/>
      <c r="AD346" s="1038"/>
      <c r="AE346" s="1038"/>
      <c r="AF346" s="1038"/>
      <c r="AG346" s="1038"/>
      <c r="AH346" s="1038"/>
      <c r="AI346" s="1038"/>
      <c r="AJ346" s="1038"/>
      <c r="AK346" s="1038"/>
      <c r="AL346" s="1038"/>
      <c r="AM346" s="1038"/>
      <c r="AN346" s="1038"/>
      <c r="AO346" s="1038"/>
      <c r="AP346" s="1038"/>
      <c r="AQ346" s="1038"/>
    </row>
    <row r="347" spans="4:43" ht="28.5" customHeight="1" outlineLevel="1">
      <c r="D347" s="1">
        <v>45</v>
      </c>
      <c r="AB347" s="832" t="s">
        <v>1805</v>
      </c>
      <c r="AC347" s="781"/>
      <c r="AD347" s="781"/>
      <c r="AE347" s="781"/>
      <c r="AF347" s="781"/>
      <c r="AG347" s="781"/>
      <c r="AH347" s="781"/>
      <c r="AI347" s="781"/>
      <c r="AJ347" s="781"/>
      <c r="AK347" s="781"/>
      <c r="AL347" s="781"/>
      <c r="AM347" s="781"/>
      <c r="AN347" s="781"/>
      <c r="AO347" s="781"/>
      <c r="AP347" s="781"/>
      <c r="AQ347" s="781"/>
    </row>
    <row r="348" spans="4:43" ht="28.5" customHeight="1" outlineLevel="1">
      <c r="D348" s="1">
        <v>45</v>
      </c>
      <c r="AB348" s="832" t="s">
        <v>1806</v>
      </c>
      <c r="AC348" s="781"/>
      <c r="AD348" s="781"/>
      <c r="AE348" s="781"/>
      <c r="AF348" s="781"/>
      <c r="AG348" s="781"/>
      <c r="AH348" s="781"/>
      <c r="AI348" s="781"/>
      <c r="AJ348" s="781"/>
      <c r="AK348" s="781"/>
      <c r="AL348" s="781"/>
      <c r="AM348" s="781"/>
      <c r="AN348" s="781"/>
      <c r="AO348" s="781"/>
      <c r="AP348" s="781"/>
      <c r="AQ348" s="781"/>
    </row>
    <row r="349" spans="4:43" ht="15.75" customHeight="1" outlineLevel="1">
      <c r="D349" s="1">
        <v>26</v>
      </c>
      <c r="AB349" s="832" t="s">
        <v>1807</v>
      </c>
      <c r="AC349" s="781"/>
      <c r="AD349" s="781"/>
      <c r="AE349" s="781"/>
      <c r="AF349" s="781"/>
      <c r="AG349" s="781"/>
      <c r="AH349" s="781"/>
      <c r="AI349" s="781"/>
      <c r="AJ349" s="781"/>
      <c r="AK349" s="781"/>
      <c r="AL349" s="781"/>
      <c r="AM349" s="781"/>
      <c r="AN349" s="781"/>
      <c r="AO349" s="781"/>
      <c r="AP349" s="781"/>
      <c r="AQ349" s="781"/>
    </row>
    <row r="350" spans="4:43" ht="18" customHeight="1" outlineLevel="1">
      <c r="D350" s="1">
        <v>29</v>
      </c>
      <c r="AB350" s="880" t="s">
        <v>1513</v>
      </c>
      <c r="AC350" s="781"/>
      <c r="AD350" s="781"/>
      <c r="AE350" s="369"/>
      <c r="AG350" s="832" t="s">
        <v>1808</v>
      </c>
      <c r="AH350" s="781"/>
      <c r="AI350" s="781"/>
      <c r="AJ350" s="781"/>
      <c r="AK350" s="781"/>
      <c r="AL350" s="781"/>
      <c r="AM350" s="781"/>
      <c r="AN350" s="781"/>
      <c r="AO350" s="781"/>
      <c r="AP350" s="781"/>
      <c r="AQ350" s="781"/>
    </row>
    <row r="351" spans="4:43" ht="28.5" customHeight="1" outlineLevel="1">
      <c r="D351" s="1">
        <v>45</v>
      </c>
      <c r="AB351" s="832" t="s">
        <v>1809</v>
      </c>
      <c r="AC351" s="781"/>
      <c r="AD351" s="781"/>
      <c r="AE351" s="781"/>
      <c r="AF351" s="781"/>
      <c r="AG351" s="781"/>
      <c r="AH351" s="781"/>
      <c r="AI351" s="781"/>
      <c r="AJ351" s="781"/>
      <c r="AK351" s="781"/>
      <c r="AL351" s="781"/>
      <c r="AM351" s="781"/>
      <c r="AN351" s="781"/>
      <c r="AO351" s="781"/>
      <c r="AP351" s="781"/>
      <c r="AQ351" s="781"/>
    </row>
    <row r="352" spans="4:43" ht="18" customHeight="1" outlineLevel="1">
      <c r="D352" s="1">
        <v>29</v>
      </c>
      <c r="AB352" s="880" t="s">
        <v>1513</v>
      </c>
      <c r="AC352" s="781"/>
      <c r="AD352" s="781"/>
      <c r="AE352" s="369"/>
      <c r="AG352" s="832" t="s">
        <v>1808</v>
      </c>
      <c r="AH352" s="781"/>
      <c r="AI352" s="781"/>
      <c r="AJ352" s="781"/>
      <c r="AK352" s="781"/>
      <c r="AL352" s="781"/>
      <c r="AM352" s="781"/>
      <c r="AN352" s="781"/>
      <c r="AO352" s="781"/>
      <c r="AP352" s="781"/>
      <c r="AQ352" s="781"/>
    </row>
    <row r="353" spans="4:45" ht="35.25" customHeight="1" outlineLevel="1">
      <c r="D353" s="1">
        <v>56</v>
      </c>
      <c r="AB353" s="832" t="s">
        <v>1810</v>
      </c>
      <c r="AC353" s="781"/>
      <c r="AD353" s="781"/>
      <c r="AE353" s="781"/>
      <c r="AF353" s="781"/>
      <c r="AG353" s="781"/>
      <c r="AH353" s="781"/>
      <c r="AI353" s="781"/>
      <c r="AJ353" s="781"/>
      <c r="AK353" s="781"/>
      <c r="AL353" s="781"/>
      <c r="AM353" s="781"/>
      <c r="AN353" s="781"/>
      <c r="AO353" s="781"/>
      <c r="AP353" s="781"/>
      <c r="AQ353" s="781"/>
    </row>
    <row r="354" spans="4:45" ht="28.5" customHeight="1" outlineLevel="1">
      <c r="D354" s="1">
        <v>45</v>
      </c>
      <c r="AB354" s="832" t="s">
        <v>1811</v>
      </c>
      <c r="AC354" s="781"/>
      <c r="AD354" s="781"/>
      <c r="AE354" s="781"/>
      <c r="AF354" s="781"/>
      <c r="AG354" s="781"/>
      <c r="AH354" s="781"/>
      <c r="AI354" s="781"/>
      <c r="AJ354" s="781"/>
      <c r="AK354" s="781"/>
      <c r="AL354" s="781"/>
      <c r="AM354" s="781"/>
      <c r="AN354" s="781"/>
      <c r="AO354" s="781"/>
      <c r="AP354" s="781"/>
      <c r="AQ354" s="781"/>
    </row>
    <row r="355" spans="4:45" ht="16.5" customHeight="1" outlineLevel="1">
      <c r="D355" s="1">
        <v>26</v>
      </c>
      <c r="AB355" s="1080" t="s">
        <v>1516</v>
      </c>
      <c r="AC355" s="781"/>
      <c r="AD355" s="781"/>
      <c r="AE355" s="781"/>
      <c r="AF355" s="781"/>
      <c r="AG355" s="781"/>
      <c r="AH355" s="781"/>
      <c r="AI355" s="781"/>
      <c r="AJ355" s="781"/>
      <c r="AK355" s="781"/>
      <c r="AL355" s="781"/>
      <c r="AM355" s="781"/>
      <c r="AN355" s="781"/>
      <c r="AO355" s="781"/>
      <c r="AP355" s="781"/>
      <c r="AQ355" s="781"/>
    </row>
    <row r="356" spans="4:45" ht="28.5" customHeight="1" outlineLevel="1">
      <c r="D356" s="1">
        <v>45</v>
      </c>
      <c r="AB356" s="832" t="s">
        <v>1812</v>
      </c>
      <c r="AC356" s="781"/>
      <c r="AD356" s="781"/>
      <c r="AE356" s="781"/>
      <c r="AF356" s="781"/>
      <c r="AG356" s="781"/>
      <c r="AH356" s="781"/>
      <c r="AI356" s="781"/>
      <c r="AJ356" s="781"/>
      <c r="AK356" s="781"/>
      <c r="AL356" s="781"/>
      <c r="AM356" s="781"/>
      <c r="AN356" s="781"/>
      <c r="AO356" s="781"/>
      <c r="AP356" s="781"/>
      <c r="AQ356" s="781"/>
    </row>
    <row r="357" spans="4:45" ht="15.75" customHeight="1" outlineLevel="1">
      <c r="D357" s="1">
        <v>26</v>
      </c>
      <c r="AB357" s="832" t="s">
        <v>1813</v>
      </c>
      <c r="AC357" s="781"/>
      <c r="AD357" s="781"/>
      <c r="AE357" s="781"/>
      <c r="AF357" s="781"/>
      <c r="AG357" s="781"/>
      <c r="AH357" s="781"/>
      <c r="AI357" s="781"/>
      <c r="AJ357" s="781"/>
      <c r="AK357" s="781"/>
      <c r="AL357" s="781"/>
      <c r="AM357" s="781"/>
      <c r="AN357" s="781"/>
      <c r="AO357" s="781"/>
      <c r="AP357" s="781"/>
      <c r="AQ357" s="781"/>
    </row>
    <row r="358" spans="4:45" ht="28.5" customHeight="1" outlineLevel="1">
      <c r="D358" s="1">
        <v>45</v>
      </c>
      <c r="AB358" s="878"/>
      <c r="AC358" s="878"/>
      <c r="AD358" s="878"/>
      <c r="AE358" s="878"/>
      <c r="AF358" s="878"/>
      <c r="AG358" s="878"/>
      <c r="AH358" s="878"/>
      <c r="AI358" s="878"/>
      <c r="AJ358" s="878"/>
      <c r="AK358" s="878"/>
      <c r="AL358" s="878"/>
      <c r="AM358" s="878"/>
      <c r="AN358" s="878"/>
      <c r="AO358" s="878"/>
      <c r="AP358" s="878"/>
      <c r="AQ358" s="878"/>
    </row>
    <row r="359" spans="4:45" ht="18" customHeight="1" outlineLevel="1">
      <c r="D359" s="1">
        <v>29</v>
      </c>
      <c r="AB359" s="832" t="s">
        <v>1517</v>
      </c>
      <c r="AC359" s="781"/>
      <c r="AD359" s="781"/>
      <c r="AE359" s="781"/>
      <c r="AF359" s="781"/>
      <c r="AG359" s="781"/>
      <c r="AI359" s="369"/>
    </row>
    <row r="360" spans="4:45" ht="28.5" customHeight="1" outlineLevel="1">
      <c r="D360" s="1">
        <v>45</v>
      </c>
      <c r="AB360" s="832" t="s">
        <v>1814</v>
      </c>
      <c r="AC360" s="781"/>
      <c r="AD360" s="781"/>
      <c r="AE360" s="781"/>
      <c r="AF360" s="781"/>
      <c r="AG360" s="781"/>
      <c r="AH360" s="781"/>
      <c r="AI360" s="781"/>
      <c r="AJ360" s="781"/>
      <c r="AK360" s="781"/>
      <c r="AL360" s="781"/>
      <c r="AM360" s="781"/>
      <c r="AN360" s="781"/>
      <c r="AO360" s="781"/>
      <c r="AP360" s="781"/>
      <c r="AQ360" s="781"/>
    </row>
    <row r="361" spans="4:45" ht="28.5" customHeight="1" outlineLevel="1">
      <c r="D361" s="1">
        <v>45</v>
      </c>
      <c r="AB361" s="832" t="s">
        <v>1815</v>
      </c>
      <c r="AC361" s="781"/>
      <c r="AD361" s="781"/>
      <c r="AE361" s="781"/>
      <c r="AF361" s="781"/>
      <c r="AG361" s="781"/>
      <c r="AH361" s="781"/>
      <c r="AI361" s="781"/>
      <c r="AJ361" s="781"/>
      <c r="AK361" s="781"/>
      <c r="AL361" s="781"/>
      <c r="AM361" s="781"/>
      <c r="AN361" s="781"/>
      <c r="AO361" s="781"/>
      <c r="AP361" s="781"/>
      <c r="AQ361" s="781"/>
    </row>
    <row r="362" spans="4:45" ht="28.5" customHeight="1">
      <c r="D362" s="1">
        <v>45</v>
      </c>
      <c r="AB362" s="781"/>
      <c r="AC362" s="781"/>
      <c r="AD362" s="781"/>
      <c r="AE362" s="781"/>
      <c r="AF362" s="781"/>
      <c r="AG362" s="781"/>
      <c r="AH362" s="781"/>
      <c r="AI362" s="781"/>
      <c r="AJ362" s="781"/>
      <c r="AK362" s="781"/>
      <c r="AL362" s="781"/>
      <c r="AM362" s="781"/>
      <c r="AN362" s="781"/>
      <c r="AO362" s="781"/>
      <c r="AP362" s="781"/>
      <c r="AQ362" s="781"/>
    </row>
    <row r="363" spans="4:45" ht="16.5" customHeight="1" outlineLevel="1">
      <c r="D363" s="1">
        <v>26</v>
      </c>
      <c r="AA363" s="781"/>
      <c r="AB363" s="1080" t="s">
        <v>1518</v>
      </c>
      <c r="AC363" s="781"/>
      <c r="AD363" s="781"/>
      <c r="AE363" s="781"/>
      <c r="AF363" s="781"/>
      <c r="AG363" s="781"/>
      <c r="AH363" s="781"/>
      <c r="AI363" s="781"/>
      <c r="AJ363" s="781"/>
      <c r="AK363" s="781"/>
      <c r="AL363" s="781"/>
      <c r="AM363" s="781"/>
      <c r="AN363" s="781"/>
      <c r="AO363" s="781"/>
      <c r="AP363" s="781"/>
      <c r="AQ363" s="781"/>
    </row>
    <row r="364" spans="4:45" ht="28.5" customHeight="1" outlineLevel="1">
      <c r="D364" s="1">
        <v>45</v>
      </c>
      <c r="AA364" s="781"/>
      <c r="AB364" s="832" t="s">
        <v>1816</v>
      </c>
      <c r="AC364" s="781"/>
      <c r="AD364" s="781"/>
      <c r="AE364" s="781"/>
      <c r="AF364" s="781"/>
      <c r="AG364" s="781"/>
      <c r="AH364" s="781"/>
      <c r="AI364" s="781"/>
      <c r="AJ364" s="781"/>
      <c r="AK364" s="781"/>
      <c r="AL364" s="781"/>
      <c r="AM364" s="781"/>
      <c r="AN364" s="781"/>
      <c r="AO364" s="781"/>
      <c r="AP364" s="781"/>
      <c r="AQ364" s="781"/>
    </row>
    <row r="365" spans="4:45" ht="16.5" customHeight="1" outlineLevel="1">
      <c r="D365" s="1">
        <v>26</v>
      </c>
      <c r="AB365" s="832" t="s">
        <v>1817</v>
      </c>
      <c r="AC365" s="781"/>
      <c r="AD365" s="781"/>
      <c r="AE365" s="781"/>
      <c r="AF365" s="781"/>
      <c r="AG365" s="781"/>
      <c r="AH365" s="781"/>
      <c r="AI365" s="781"/>
      <c r="AJ365" s="781"/>
      <c r="AK365" s="781"/>
      <c r="AL365" s="781"/>
      <c r="AM365" s="781"/>
      <c r="AN365" s="781"/>
      <c r="AO365" s="781"/>
      <c r="AP365" s="781"/>
      <c r="AQ365" s="781"/>
    </row>
    <row r="366" spans="4:45" ht="41.25" customHeight="1" outlineLevel="1">
      <c r="D366" s="1">
        <v>66</v>
      </c>
      <c r="AB366" s="832" t="s">
        <v>1818</v>
      </c>
      <c r="AC366" s="781"/>
      <c r="AD366" s="781"/>
      <c r="AE366" s="781"/>
      <c r="AF366" s="781"/>
      <c r="AG366" s="781"/>
      <c r="AH366" s="781"/>
      <c r="AI366" s="781"/>
      <c r="AJ366" s="781"/>
      <c r="AK366" s="781"/>
      <c r="AL366" s="781"/>
      <c r="AM366" s="781"/>
      <c r="AN366" s="781"/>
      <c r="AO366" s="781"/>
      <c r="AP366" s="781"/>
      <c r="AQ366" s="781"/>
    </row>
    <row r="367" spans="4:45" ht="18" customHeight="1" outlineLevel="1">
      <c r="D367" s="1">
        <v>29</v>
      </c>
      <c r="AB367" s="832" t="s">
        <v>1819</v>
      </c>
      <c r="AC367" s="781"/>
      <c r="AD367" s="781"/>
      <c r="AE367" s="781"/>
      <c r="AF367" s="781"/>
      <c r="AG367" s="781"/>
      <c r="AH367" s="369"/>
      <c r="AI367" s="832" t="s">
        <v>1520</v>
      </c>
      <c r="AJ367" s="781"/>
      <c r="AK367" s="781"/>
      <c r="AL367" s="781"/>
      <c r="AM367" s="781"/>
      <c r="AN367" s="781"/>
      <c r="AO367" s="781"/>
      <c r="AP367" s="781"/>
      <c r="AQ367" s="781"/>
      <c r="AR367" s="781"/>
      <c r="AS367" s="781"/>
    </row>
    <row r="368" spans="4:45" ht="18" customHeight="1" outlineLevel="1">
      <c r="D368" s="1">
        <v>29</v>
      </c>
      <c r="AB368" s="832" t="s">
        <v>1521</v>
      </c>
      <c r="AC368" s="781"/>
      <c r="AD368" s="781"/>
      <c r="AE368" s="781"/>
      <c r="AF368" s="781"/>
      <c r="AG368" s="781"/>
      <c r="AH368" s="369"/>
      <c r="AI368" s="832" t="s">
        <v>1522</v>
      </c>
      <c r="AJ368" s="781"/>
      <c r="AK368" s="781"/>
      <c r="AL368" s="781"/>
      <c r="AM368" s="781"/>
      <c r="AN368" s="781"/>
      <c r="AO368" s="781"/>
      <c r="AP368" s="781"/>
      <c r="AQ368" s="781"/>
      <c r="AR368" s="781"/>
      <c r="AS368" s="781"/>
    </row>
    <row r="369" spans="4:43" ht="28.5" customHeight="1" outlineLevel="1">
      <c r="D369" s="1">
        <v>45</v>
      </c>
      <c r="AB369" s="832" t="s">
        <v>1523</v>
      </c>
      <c r="AC369" s="781"/>
      <c r="AD369" s="781"/>
      <c r="AE369" s="781"/>
      <c r="AF369" s="781"/>
      <c r="AG369" s="781"/>
      <c r="AH369" s="781"/>
      <c r="AI369" s="781"/>
      <c r="AJ369" s="781"/>
      <c r="AK369" s="781"/>
      <c r="AL369" s="781"/>
      <c r="AM369" s="781"/>
      <c r="AN369" s="781"/>
      <c r="AO369" s="781"/>
      <c r="AP369" s="781"/>
      <c r="AQ369" s="781"/>
    </row>
    <row r="370" spans="4:43" ht="28.5" customHeight="1" outlineLevel="1">
      <c r="D370" s="1">
        <v>45</v>
      </c>
      <c r="AB370" s="832">
        <v>0</v>
      </c>
      <c r="AC370" s="781"/>
      <c r="AD370" s="781"/>
      <c r="AE370" s="781"/>
      <c r="AF370" s="781"/>
      <c r="AG370" s="781"/>
      <c r="AH370" s="781"/>
      <c r="AI370" s="781"/>
      <c r="AJ370" s="781"/>
      <c r="AK370" s="781"/>
      <c r="AL370" s="781"/>
      <c r="AM370" s="781"/>
      <c r="AN370" s="781"/>
      <c r="AO370" s="781"/>
      <c r="AP370" s="781"/>
      <c r="AQ370" s="781"/>
    </row>
    <row r="371" spans="4:43" ht="36" customHeight="1" outlineLevel="1">
      <c r="D371" s="1">
        <v>58</v>
      </c>
      <c r="AB371" s="832" t="s">
        <v>1820</v>
      </c>
      <c r="AC371" s="781"/>
      <c r="AD371" s="781"/>
      <c r="AE371" s="781"/>
      <c r="AF371" s="781"/>
      <c r="AG371" s="781"/>
      <c r="AH371" s="781"/>
      <c r="AI371" s="781"/>
      <c r="AJ371" s="781"/>
      <c r="AK371" s="781"/>
      <c r="AL371" s="781"/>
      <c r="AM371" s="781"/>
      <c r="AN371" s="781"/>
      <c r="AO371" s="781"/>
      <c r="AP371" s="1056"/>
      <c r="AQ371" s="369"/>
    </row>
    <row r="372" spans="4:43" ht="42" customHeight="1" outlineLevel="1">
      <c r="D372" s="1">
        <v>68</v>
      </c>
      <c r="AB372" s="832">
        <v>0</v>
      </c>
      <c r="AC372" s="781"/>
      <c r="AD372" s="781"/>
      <c r="AE372" s="781"/>
      <c r="AF372" s="781"/>
      <c r="AG372" s="781"/>
      <c r="AH372" s="781"/>
      <c r="AI372" s="781"/>
      <c r="AJ372" s="781"/>
      <c r="AK372" s="781"/>
      <c r="AL372" s="781"/>
      <c r="AM372" s="781"/>
      <c r="AN372" s="781"/>
      <c r="AO372" s="781"/>
      <c r="AP372" s="781"/>
      <c r="AQ372" s="781"/>
    </row>
    <row r="373" spans="4:43" ht="28.5" customHeight="1" outlineLevel="1">
      <c r="D373" s="1">
        <v>45</v>
      </c>
      <c r="AB373" s="878"/>
      <c r="AC373" s="878"/>
      <c r="AD373" s="878"/>
      <c r="AE373" s="878"/>
      <c r="AF373" s="878"/>
      <c r="AG373" s="878"/>
      <c r="AH373" s="878"/>
      <c r="AI373" s="878"/>
      <c r="AJ373" s="878"/>
      <c r="AK373" s="878"/>
      <c r="AL373" s="878"/>
      <c r="AM373" s="878"/>
      <c r="AN373" s="878"/>
      <c r="AO373" s="878"/>
      <c r="AP373" s="878"/>
      <c r="AQ373" s="878"/>
    </row>
    <row r="374" spans="4:43" ht="28.5" customHeight="1" outlineLevel="1">
      <c r="D374" s="1">
        <v>45</v>
      </c>
      <c r="AB374" s="1038"/>
      <c r="AC374" s="1038"/>
      <c r="AD374" s="1038"/>
      <c r="AE374" s="1038"/>
      <c r="AF374" s="1038"/>
      <c r="AG374" s="1038"/>
      <c r="AH374" s="1038"/>
      <c r="AI374" s="1038"/>
      <c r="AJ374" s="1038"/>
      <c r="AK374" s="1038"/>
      <c r="AL374" s="1038"/>
      <c r="AM374" s="1038"/>
      <c r="AN374" s="1038"/>
      <c r="AO374" s="1038"/>
      <c r="AP374" s="1038"/>
      <c r="AQ374" s="1038"/>
    </row>
    <row r="375" spans="4:43" ht="28.5" hidden="1" customHeight="1">
      <c r="D375" s="1">
        <v>0</v>
      </c>
      <c r="AB375" s="781"/>
      <c r="AC375" s="781"/>
      <c r="AD375" s="781"/>
      <c r="AE375" s="781"/>
      <c r="AF375" s="781"/>
      <c r="AG375" s="781"/>
      <c r="AH375" s="781"/>
      <c r="AI375" s="781"/>
      <c r="AJ375" s="781"/>
      <c r="AK375" s="781"/>
      <c r="AL375" s="781"/>
      <c r="AM375" s="781"/>
      <c r="AN375" s="781"/>
      <c r="AO375" s="781"/>
      <c r="AP375" s="781"/>
      <c r="AQ375" s="781"/>
    </row>
    <row r="376" spans="4:43" ht="16.5" customHeight="1" outlineLevel="1">
      <c r="D376" s="1">
        <v>26</v>
      </c>
      <c r="AB376" s="1080" t="s">
        <v>1527</v>
      </c>
      <c r="AC376" s="781"/>
      <c r="AD376" s="781"/>
      <c r="AE376" s="781"/>
      <c r="AF376" s="781"/>
      <c r="AG376" s="781"/>
      <c r="AH376" s="781"/>
      <c r="AI376" s="781"/>
      <c r="AJ376" s="781"/>
      <c r="AK376" s="781"/>
      <c r="AL376" s="781"/>
      <c r="AM376" s="781"/>
      <c r="AN376" s="781"/>
      <c r="AO376" s="781"/>
      <c r="AP376" s="781"/>
      <c r="AQ376" s="781"/>
    </row>
    <row r="377" spans="4:43" ht="28.5" customHeight="1" outlineLevel="1">
      <c r="D377" s="1">
        <v>45</v>
      </c>
      <c r="AB377" s="832" t="s">
        <v>1528</v>
      </c>
      <c r="AC377" s="781"/>
      <c r="AD377" s="781"/>
      <c r="AE377" s="781"/>
      <c r="AF377" s="781"/>
      <c r="AG377" s="781"/>
      <c r="AH377" s="781"/>
      <c r="AI377" s="781"/>
      <c r="AJ377" s="781"/>
      <c r="AK377" s="781"/>
      <c r="AL377" s="781"/>
      <c r="AM377" s="781"/>
      <c r="AN377" s="781"/>
      <c r="AO377" s="781"/>
      <c r="AP377" s="781"/>
      <c r="AQ377" s="781"/>
    </row>
    <row r="378" spans="4:43" ht="21" customHeight="1" outlineLevel="1">
      <c r="D378" s="1">
        <v>34</v>
      </c>
      <c r="AB378" s="832" t="s">
        <v>1821</v>
      </c>
      <c r="AC378" s="781"/>
      <c r="AD378" s="781"/>
      <c r="AE378" s="781"/>
      <c r="AF378" s="781"/>
      <c r="AG378" s="781"/>
      <c r="AH378" s="781"/>
      <c r="AI378" s="781"/>
      <c r="AJ378" s="781"/>
      <c r="AK378" s="781"/>
      <c r="AL378" s="781"/>
      <c r="AM378" s="781"/>
      <c r="AN378" s="781"/>
      <c r="AO378" s="781"/>
      <c r="AP378" s="781"/>
      <c r="AQ378" s="781"/>
    </row>
    <row r="379" spans="4:43" ht="28.5" customHeight="1" outlineLevel="1">
      <c r="D379" s="1">
        <v>45</v>
      </c>
      <c r="AB379" s="1038"/>
      <c r="AC379" s="1038"/>
      <c r="AD379" s="1038"/>
      <c r="AE379" s="1038"/>
      <c r="AF379" s="1038"/>
      <c r="AG379" s="1038"/>
      <c r="AH379" s="1038"/>
      <c r="AI379" s="1038"/>
      <c r="AJ379" s="1038"/>
      <c r="AK379" s="1038"/>
      <c r="AL379" s="1038"/>
      <c r="AM379" s="1038"/>
      <c r="AN379" s="1038"/>
      <c r="AO379" s="1038"/>
      <c r="AP379" s="1038"/>
      <c r="AQ379" s="1038"/>
    </row>
    <row r="380" spans="4:43" ht="28.5" customHeight="1" outlineLevel="1">
      <c r="D380" s="1">
        <v>45</v>
      </c>
      <c r="AB380" s="878"/>
      <c r="AC380" s="878"/>
      <c r="AD380" s="878"/>
      <c r="AE380" s="878"/>
      <c r="AF380" s="878"/>
      <c r="AG380" s="878"/>
      <c r="AH380" s="878"/>
      <c r="AI380" s="878"/>
      <c r="AJ380" s="878"/>
      <c r="AK380" s="878"/>
      <c r="AL380" s="878"/>
      <c r="AM380" s="878"/>
      <c r="AN380" s="878"/>
      <c r="AO380" s="878"/>
      <c r="AP380" s="878"/>
      <c r="AQ380" s="878"/>
    </row>
    <row r="381" spans="4:43" ht="55.5" customHeight="1" outlineLevel="1">
      <c r="D381" s="1">
        <v>90</v>
      </c>
      <c r="AB381" s="878"/>
      <c r="AC381" s="878"/>
      <c r="AD381" s="878"/>
      <c r="AE381" s="878"/>
      <c r="AF381" s="878"/>
      <c r="AG381" s="878"/>
      <c r="AH381" s="878"/>
      <c r="AI381" s="878"/>
      <c r="AJ381" s="878"/>
      <c r="AK381" s="878"/>
      <c r="AL381" s="878"/>
      <c r="AM381" s="878"/>
      <c r="AN381" s="878"/>
      <c r="AO381" s="878"/>
      <c r="AP381" s="878"/>
      <c r="AQ381" s="878"/>
    </row>
    <row r="382" spans="4:43" ht="23.25" customHeight="1" outlineLevel="1">
      <c r="D382" s="1">
        <v>37</v>
      </c>
      <c r="AB382" s="832" t="s">
        <v>1822</v>
      </c>
      <c r="AC382" s="781"/>
      <c r="AD382" s="781"/>
      <c r="AE382" s="781"/>
      <c r="AF382" s="781"/>
      <c r="AG382" s="781"/>
      <c r="AH382" s="781"/>
      <c r="AI382" s="781"/>
      <c r="AJ382" s="781"/>
      <c r="AK382" s="781"/>
      <c r="AL382" s="781"/>
      <c r="AM382" s="781"/>
      <c r="AN382" s="781"/>
      <c r="AO382" s="781"/>
      <c r="AP382" s="781"/>
      <c r="AQ382" s="781"/>
    </row>
    <row r="383" spans="4:43" ht="28.5" customHeight="1" outlineLevel="1">
      <c r="D383" s="1">
        <v>45</v>
      </c>
      <c r="AB383" s="832" t="s">
        <v>1823</v>
      </c>
      <c r="AC383" s="781"/>
      <c r="AD383" s="781"/>
      <c r="AE383" s="781"/>
      <c r="AF383" s="781"/>
      <c r="AG383" s="781"/>
      <c r="AH383" s="781"/>
      <c r="AI383" s="781"/>
      <c r="AJ383" s="781"/>
      <c r="AK383" s="781"/>
      <c r="AL383" s="781"/>
      <c r="AM383" s="781"/>
      <c r="AN383" s="781"/>
      <c r="AO383" s="781"/>
      <c r="AP383" s="781"/>
      <c r="AQ383" s="781"/>
    </row>
    <row r="384" spans="4:43" ht="28.5" customHeight="1">
      <c r="D384" s="1">
        <v>45</v>
      </c>
      <c r="AB384" s="781"/>
      <c r="AC384" s="781"/>
      <c r="AD384" s="781"/>
      <c r="AE384" s="781"/>
      <c r="AF384" s="781"/>
      <c r="AG384" s="781"/>
      <c r="AH384" s="781"/>
      <c r="AI384" s="781"/>
      <c r="AJ384" s="781"/>
      <c r="AK384" s="781"/>
      <c r="AL384" s="781"/>
      <c r="AM384" s="781"/>
      <c r="AN384" s="781"/>
      <c r="AO384" s="781"/>
      <c r="AP384" s="781"/>
      <c r="AQ384" s="781"/>
    </row>
    <row r="385" spans="4:43" ht="16.5" customHeight="1" outlineLevel="1">
      <c r="D385" s="1">
        <v>26</v>
      </c>
      <c r="AB385" s="1080" t="s">
        <v>1533</v>
      </c>
      <c r="AC385" s="781"/>
      <c r="AD385" s="781"/>
      <c r="AE385" s="781"/>
      <c r="AF385" s="781"/>
      <c r="AG385" s="781"/>
      <c r="AH385" s="781"/>
      <c r="AI385" s="781"/>
      <c r="AJ385" s="781"/>
      <c r="AK385" s="781"/>
      <c r="AL385" s="781"/>
      <c r="AM385" s="781"/>
      <c r="AN385" s="781"/>
      <c r="AO385" s="781"/>
      <c r="AP385" s="781"/>
      <c r="AQ385" s="781"/>
    </row>
    <row r="386" spans="4:43" ht="28.5" customHeight="1" outlineLevel="1">
      <c r="D386" s="1">
        <v>45</v>
      </c>
      <c r="AB386" s="832" t="s">
        <v>1824</v>
      </c>
      <c r="AC386" s="781"/>
      <c r="AD386" s="781"/>
      <c r="AE386" s="781"/>
      <c r="AF386" s="781"/>
      <c r="AG386" s="781"/>
      <c r="AH386" s="781"/>
      <c r="AI386" s="781"/>
      <c r="AJ386" s="781"/>
      <c r="AK386" s="781"/>
      <c r="AL386" s="781"/>
      <c r="AM386" s="781"/>
      <c r="AN386" s="781"/>
      <c r="AO386" s="781"/>
      <c r="AP386" s="781"/>
      <c r="AQ386" s="781"/>
    </row>
    <row r="387" spans="4:43" ht="28.5" customHeight="1" outlineLevel="1">
      <c r="D387" s="1">
        <v>45</v>
      </c>
      <c r="AB387" s="832" t="s">
        <v>1825</v>
      </c>
      <c r="AC387" s="781"/>
      <c r="AD387" s="781"/>
      <c r="AE387" s="781"/>
      <c r="AF387" s="781"/>
      <c r="AG387" s="781"/>
      <c r="AH387" s="781"/>
      <c r="AI387" s="781"/>
      <c r="AJ387" s="781"/>
      <c r="AK387" s="781"/>
      <c r="AL387" s="781"/>
      <c r="AM387" s="781"/>
      <c r="AN387" s="781"/>
      <c r="AO387" s="781"/>
      <c r="AP387" s="781"/>
      <c r="AQ387" s="781"/>
    </row>
    <row r="388" spans="4:43" ht="70.5" customHeight="1" outlineLevel="1">
      <c r="D388" s="1">
        <v>112</v>
      </c>
      <c r="AB388" s="832" t="s">
        <v>1826</v>
      </c>
      <c r="AC388" s="781"/>
      <c r="AD388" s="781"/>
      <c r="AE388" s="781"/>
      <c r="AF388" s="781"/>
      <c r="AG388" s="781"/>
      <c r="AH388" s="781"/>
      <c r="AI388" s="781"/>
      <c r="AJ388" s="781"/>
      <c r="AK388" s="781"/>
      <c r="AL388" s="781"/>
      <c r="AM388" s="781"/>
      <c r="AN388" s="781"/>
      <c r="AO388" s="781"/>
      <c r="AP388" s="781"/>
      <c r="AQ388" s="781"/>
    </row>
    <row r="389" spans="4:43" ht="21.75" customHeight="1" outlineLevel="1">
      <c r="D389" s="1">
        <v>36</v>
      </c>
      <c r="AB389" s="832" t="s">
        <v>1948</v>
      </c>
      <c r="AC389" s="781"/>
      <c r="AD389" s="781"/>
      <c r="AE389" s="781"/>
      <c r="AF389" s="781"/>
      <c r="AG389" s="781"/>
      <c r="AH389" s="781"/>
      <c r="AI389" s="781"/>
      <c r="AJ389" s="781"/>
      <c r="AK389" s="781"/>
      <c r="AL389" s="781"/>
      <c r="AM389" s="781"/>
      <c r="AN389" s="781"/>
      <c r="AO389" s="781"/>
      <c r="AP389" s="781"/>
      <c r="AQ389" s="781"/>
    </row>
    <row r="390" spans="4:43" ht="28.5" customHeight="1" outlineLevel="1">
      <c r="D390" s="1">
        <v>45</v>
      </c>
      <c r="AB390" s="1038"/>
      <c r="AC390" s="1038"/>
      <c r="AD390" s="1038"/>
      <c r="AE390" s="1038"/>
      <c r="AF390" s="1038"/>
      <c r="AG390" s="1038"/>
      <c r="AH390" s="1038"/>
      <c r="AI390" s="1038"/>
      <c r="AJ390" s="1038"/>
      <c r="AK390" s="1038"/>
      <c r="AL390" s="1038"/>
      <c r="AM390" s="1038"/>
      <c r="AN390" s="1038"/>
      <c r="AO390" s="1038"/>
      <c r="AP390" s="1038"/>
      <c r="AQ390" s="1038"/>
    </row>
    <row r="391" spans="4:43" ht="45" customHeight="1" outlineLevel="1">
      <c r="D391" s="1">
        <v>72</v>
      </c>
      <c r="AB391" s="1038"/>
      <c r="AC391" s="1038"/>
      <c r="AD391" s="1038"/>
      <c r="AE391" s="1038"/>
      <c r="AF391" s="1038"/>
      <c r="AG391" s="1038"/>
      <c r="AH391" s="1038"/>
      <c r="AI391" s="1038"/>
      <c r="AJ391" s="1038"/>
      <c r="AK391" s="1038"/>
      <c r="AL391" s="1038"/>
      <c r="AM391" s="1038"/>
      <c r="AN391" s="1038"/>
      <c r="AO391" s="1038"/>
      <c r="AP391" s="1038"/>
      <c r="AQ391" s="1038"/>
    </row>
    <row r="392" spans="4:43" ht="28.5" hidden="1" customHeight="1">
      <c r="D392" s="1">
        <v>0</v>
      </c>
    </row>
    <row r="393" spans="4:43" ht="21" customHeight="1" outlineLevel="1">
      <c r="D393" s="1">
        <v>34</v>
      </c>
      <c r="AB393" s="1080" t="s">
        <v>1497</v>
      </c>
      <c r="AC393" s="781"/>
      <c r="AD393" s="781"/>
      <c r="AE393" s="781"/>
      <c r="AF393" s="781"/>
      <c r="AG393" s="781"/>
      <c r="AH393" s="781"/>
      <c r="AI393" s="781"/>
      <c r="AJ393" s="781"/>
      <c r="AK393" s="781"/>
      <c r="AL393" s="781"/>
      <c r="AM393" s="781"/>
      <c r="AN393" s="781"/>
      <c r="AO393" s="781"/>
      <c r="AP393" s="781"/>
      <c r="AQ393" s="781"/>
    </row>
    <row r="394" spans="4:43" ht="17.25" customHeight="1" outlineLevel="1">
      <c r="D394" s="1">
        <v>28</v>
      </c>
      <c r="AB394" s="832" t="s">
        <v>1949</v>
      </c>
      <c r="AC394" s="781"/>
      <c r="AD394" s="781"/>
      <c r="AE394" s="781"/>
      <c r="AF394" s="781"/>
      <c r="AG394" s="781"/>
      <c r="AH394" s="781"/>
      <c r="AI394" s="781"/>
      <c r="AJ394" s="781"/>
      <c r="AK394" s="781"/>
      <c r="AL394" s="781"/>
      <c r="AM394" s="781"/>
      <c r="AN394" s="781"/>
      <c r="AO394" s="781"/>
      <c r="AP394" s="781"/>
      <c r="AQ394" s="781"/>
    </row>
    <row r="395" spans="4:43" ht="17.25" customHeight="1" outlineLevel="1">
      <c r="D395" s="1">
        <v>28</v>
      </c>
      <c r="AB395" s="832" t="s">
        <v>1944</v>
      </c>
      <c r="AC395" s="781"/>
      <c r="AD395" s="781"/>
      <c r="AE395" s="781"/>
      <c r="AF395" s="781"/>
      <c r="AG395" s="781"/>
      <c r="AH395" s="781"/>
      <c r="AI395" s="781"/>
      <c r="AJ395" s="781"/>
      <c r="AK395" s="781"/>
      <c r="AL395" s="781"/>
      <c r="AM395" s="781"/>
      <c r="AN395" s="781"/>
      <c r="AO395" s="781"/>
      <c r="AP395" s="781"/>
      <c r="AQ395" s="781"/>
    </row>
    <row r="396" spans="4:43" ht="17.25" customHeight="1" outlineLevel="1">
      <c r="D396" s="1">
        <v>28</v>
      </c>
      <c r="AB396" s="832" t="s">
        <v>1950</v>
      </c>
      <c r="AC396" s="781"/>
      <c r="AD396" s="781"/>
      <c r="AE396" s="781"/>
      <c r="AF396" s="781"/>
      <c r="AG396" s="781"/>
      <c r="AH396" s="781"/>
      <c r="AI396" s="781"/>
      <c r="AJ396" s="781"/>
      <c r="AK396" s="781"/>
      <c r="AL396" s="781"/>
      <c r="AM396" s="781"/>
      <c r="AN396" s="781"/>
      <c r="AO396" s="781"/>
      <c r="AP396" s="781"/>
      <c r="AQ396" s="781"/>
    </row>
    <row r="397" spans="4:43" ht="39" customHeight="1" outlineLevel="1">
      <c r="D397" s="1">
        <v>63</v>
      </c>
      <c r="AB397" s="1038"/>
      <c r="AC397" s="1038"/>
      <c r="AD397" s="1038"/>
      <c r="AE397" s="1038"/>
      <c r="AF397" s="1038"/>
      <c r="AG397" s="1038"/>
      <c r="AH397" s="1038"/>
      <c r="AI397" s="1038"/>
      <c r="AJ397" s="1038"/>
      <c r="AK397" s="1038"/>
      <c r="AL397" s="1038"/>
      <c r="AM397" s="1038"/>
      <c r="AN397" s="1038"/>
      <c r="AO397" s="1038"/>
      <c r="AP397" s="1038"/>
      <c r="AQ397" s="1038"/>
    </row>
    <row r="398" spans="4:43" ht="28.5" hidden="1" customHeight="1">
      <c r="D398" s="1">
        <v>0</v>
      </c>
    </row>
    <row r="399" spans="4:43" ht="28.5" customHeight="1">
      <c r="D399" s="1">
        <v>45</v>
      </c>
      <c r="AC399" s="1130" t="s">
        <v>608</v>
      </c>
      <c r="AD399" s="1130"/>
      <c r="AE399" s="1130"/>
      <c r="AF399" s="403" t="s">
        <v>1951</v>
      </c>
      <c r="AG399" s="1132" t="s">
        <v>1952</v>
      </c>
      <c r="AH399" s="1132"/>
      <c r="AI399" s="1133" t="s">
        <v>1953</v>
      </c>
      <c r="AJ399" s="1133"/>
    </row>
    <row r="400" spans="4:43" ht="28.5" customHeight="1">
      <c r="D400" s="1">
        <v>45</v>
      </c>
      <c r="AC400" s="1130" t="s">
        <v>1499</v>
      </c>
      <c r="AD400" s="1130"/>
      <c r="AE400" s="1130"/>
      <c r="AF400" s="404" t="s">
        <v>1218</v>
      </c>
      <c r="AG400" s="1134">
        <v>0</v>
      </c>
      <c r="AH400" s="1134"/>
      <c r="AI400" s="1134">
        <v>0</v>
      </c>
      <c r="AJ400" s="1134"/>
    </row>
    <row r="401" spans="4:36" ht="28.5" customHeight="1">
      <c r="D401" s="1">
        <v>45</v>
      </c>
      <c r="AC401" s="1130" t="s">
        <v>1500</v>
      </c>
      <c r="AD401" s="1130"/>
      <c r="AE401" s="1130"/>
      <c r="AF401" s="403" t="s">
        <v>1218</v>
      </c>
      <c r="AG401" s="1131">
        <v>0</v>
      </c>
      <c r="AH401" s="1131"/>
      <c r="AI401" s="1131">
        <v>0</v>
      </c>
      <c r="AJ401" s="1131"/>
    </row>
    <row r="402" spans="4:36" ht="28.5" customHeight="1">
      <c r="D402" s="1">
        <v>45</v>
      </c>
      <c r="AC402" s="1130" t="s">
        <v>928</v>
      </c>
      <c r="AD402" s="1130"/>
      <c r="AE402" s="1130"/>
      <c r="AF402" s="403" t="s">
        <v>1218</v>
      </c>
      <c r="AG402" s="1131">
        <v>0</v>
      </c>
      <c r="AH402" s="1131"/>
      <c r="AI402" s="1131">
        <v>0</v>
      </c>
      <c r="AJ402" s="1131"/>
    </row>
    <row r="403" spans="4:36" ht="28.5" customHeight="1">
      <c r="D403" s="1">
        <v>45</v>
      </c>
      <c r="AC403" s="1130" t="s">
        <v>1501</v>
      </c>
      <c r="AD403" s="1130"/>
      <c r="AE403" s="1130"/>
      <c r="AF403" s="403" t="s">
        <v>639</v>
      </c>
      <c r="AG403" s="1135"/>
      <c r="AH403" s="1136"/>
      <c r="AI403" s="1135"/>
      <c r="AJ403" s="1136"/>
    </row>
    <row r="404" spans="4:36" ht="28.5" customHeight="1">
      <c r="D404" s="1">
        <v>45</v>
      </c>
      <c r="AC404" s="1130" t="s">
        <v>1502</v>
      </c>
      <c r="AD404" s="1130"/>
      <c r="AE404" s="1130"/>
      <c r="AF404" s="403" t="s">
        <v>1503</v>
      </c>
      <c r="AG404" s="1135"/>
      <c r="AH404" s="1136"/>
      <c r="AI404" s="1135"/>
      <c r="AJ404" s="1136"/>
    </row>
    <row r="405" spans="4:36" ht="28.5" customHeight="1">
      <c r="D405" s="1">
        <v>45</v>
      </c>
      <c r="AC405" s="1130" t="s">
        <v>929</v>
      </c>
      <c r="AD405" s="1130"/>
      <c r="AE405" s="1130"/>
      <c r="AF405" s="403" t="s">
        <v>1218</v>
      </c>
      <c r="AG405" s="1131">
        <v>0</v>
      </c>
      <c r="AH405" s="1131"/>
      <c r="AI405" s="1131">
        <v>0</v>
      </c>
      <c r="AJ405" s="1131"/>
    </row>
    <row r="406" spans="4:36" ht="28.5" customHeight="1">
      <c r="D406" s="1">
        <v>45</v>
      </c>
      <c r="AC406" s="1130" t="s">
        <v>1501</v>
      </c>
      <c r="AD406" s="1130"/>
      <c r="AE406" s="1130"/>
      <c r="AF406" s="403" t="s">
        <v>639</v>
      </c>
      <c r="AG406" s="1135"/>
      <c r="AH406" s="1136"/>
      <c r="AI406" s="1135"/>
      <c r="AJ406" s="1136"/>
    </row>
    <row r="407" spans="4:36" ht="28.5" customHeight="1">
      <c r="D407" s="1">
        <v>45</v>
      </c>
      <c r="AC407" s="1130" t="s">
        <v>1502</v>
      </c>
      <c r="AD407" s="1130"/>
      <c r="AE407" s="1130"/>
      <c r="AF407" s="403" t="s">
        <v>1503</v>
      </c>
      <c r="AG407" s="1135"/>
      <c r="AH407" s="1136"/>
      <c r="AI407" s="1135"/>
      <c r="AJ407" s="1136"/>
    </row>
    <row r="408" spans="4:36" ht="28.5" customHeight="1">
      <c r="D408" s="1">
        <v>45</v>
      </c>
      <c r="AC408" s="1130" t="s">
        <v>1504</v>
      </c>
      <c r="AD408" s="1130"/>
      <c r="AE408" s="1130"/>
      <c r="AF408" s="403" t="s">
        <v>1218</v>
      </c>
      <c r="AG408" s="1131">
        <v>0</v>
      </c>
      <c r="AH408" s="1131"/>
      <c r="AI408" s="1131">
        <v>0</v>
      </c>
      <c r="AJ408" s="1131"/>
    </row>
    <row r="409" spans="4:36" ht="28.5" customHeight="1">
      <c r="D409" s="1">
        <v>45</v>
      </c>
      <c r="AC409" s="1130" t="s">
        <v>928</v>
      </c>
      <c r="AD409" s="1130"/>
      <c r="AE409" s="1130"/>
      <c r="AF409" s="403" t="s">
        <v>1218</v>
      </c>
      <c r="AG409" s="1131">
        <v>0</v>
      </c>
      <c r="AH409" s="1131"/>
      <c r="AI409" s="1131">
        <v>0</v>
      </c>
      <c r="AJ409" s="1131"/>
    </row>
    <row r="410" spans="4:36" ht="28.5" customHeight="1">
      <c r="D410" s="1">
        <v>45</v>
      </c>
      <c r="AC410" s="1130" t="s">
        <v>1505</v>
      </c>
      <c r="AD410" s="1130"/>
      <c r="AE410" s="1130"/>
      <c r="AF410" s="403" t="s">
        <v>1506</v>
      </c>
      <c r="AG410" s="1131">
        <v>0</v>
      </c>
      <c r="AH410" s="1131"/>
      <c r="AI410" s="1131">
        <v>0</v>
      </c>
      <c r="AJ410" s="1131"/>
    </row>
    <row r="411" spans="4:36" ht="28.5" customHeight="1">
      <c r="D411" s="1">
        <v>45</v>
      </c>
      <c r="AC411" s="1130" t="s">
        <v>1507</v>
      </c>
      <c r="AD411" s="1130"/>
      <c r="AE411" s="1130"/>
      <c r="AF411" s="403" t="s">
        <v>1506</v>
      </c>
      <c r="AG411" s="1135"/>
      <c r="AH411" s="1136"/>
      <c r="AI411" s="1135"/>
      <c r="AJ411" s="1136"/>
    </row>
    <row r="412" spans="4:36" ht="28.5" customHeight="1">
      <c r="D412" s="1">
        <v>45</v>
      </c>
      <c r="AC412" s="1130" t="s">
        <v>1508</v>
      </c>
      <c r="AD412" s="1130"/>
      <c r="AE412" s="1130"/>
      <c r="AF412" s="403" t="s">
        <v>633</v>
      </c>
      <c r="AG412" s="1135"/>
      <c r="AH412" s="1136"/>
      <c r="AI412" s="1135"/>
      <c r="AJ412" s="1136"/>
    </row>
    <row r="413" spans="4:36" ht="28.5" customHeight="1">
      <c r="D413" s="1">
        <v>45</v>
      </c>
      <c r="AC413" s="1130" t="s">
        <v>1509</v>
      </c>
      <c r="AD413" s="1130"/>
      <c r="AE413" s="1130"/>
      <c r="AF413" s="403" t="s">
        <v>1033</v>
      </c>
      <c r="AG413" s="1135"/>
      <c r="AH413" s="1136"/>
      <c r="AI413" s="1135"/>
      <c r="AJ413" s="1136"/>
    </row>
    <row r="414" spans="4:36" ht="28.5" customHeight="1">
      <c r="D414" s="1">
        <v>45</v>
      </c>
      <c r="AC414" s="1130" t="s">
        <v>929</v>
      </c>
      <c r="AD414" s="1130"/>
      <c r="AE414" s="1130"/>
      <c r="AF414" s="403" t="s">
        <v>1218</v>
      </c>
      <c r="AG414" s="1131">
        <v>0</v>
      </c>
      <c r="AH414" s="1131"/>
      <c r="AI414" s="1131">
        <v>0</v>
      </c>
      <c r="AJ414" s="1131"/>
    </row>
    <row r="415" spans="4:36" ht="28.5" customHeight="1">
      <c r="D415" s="1">
        <v>45</v>
      </c>
      <c r="AC415" s="1130" t="s">
        <v>1505</v>
      </c>
      <c r="AD415" s="1130"/>
      <c r="AE415" s="1130"/>
      <c r="AF415" s="403" t="s">
        <v>1506</v>
      </c>
      <c r="AG415" s="1131">
        <v>0</v>
      </c>
      <c r="AH415" s="1131"/>
      <c r="AI415" s="1131">
        <v>0</v>
      </c>
      <c r="AJ415" s="1131"/>
    </row>
    <row r="416" spans="4:36" ht="28.5" customHeight="1">
      <c r="D416" s="1">
        <v>45</v>
      </c>
      <c r="AC416" s="1130" t="s">
        <v>1507</v>
      </c>
      <c r="AD416" s="1130"/>
      <c r="AE416" s="1130"/>
      <c r="AF416" s="403" t="s">
        <v>1506</v>
      </c>
      <c r="AG416" s="1135"/>
      <c r="AH416" s="1136"/>
      <c r="AI416" s="1135"/>
      <c r="AJ416" s="1136"/>
    </row>
    <row r="417" spans="4:43" ht="28.5" customHeight="1">
      <c r="D417" s="1">
        <v>45</v>
      </c>
      <c r="AC417" s="1130" t="s">
        <v>1508</v>
      </c>
      <c r="AD417" s="1130"/>
      <c r="AE417" s="1130"/>
      <c r="AF417" s="403" t="s">
        <v>633</v>
      </c>
      <c r="AG417" s="1135"/>
      <c r="AH417" s="1136"/>
      <c r="AI417" s="1135"/>
      <c r="AJ417" s="1136"/>
    </row>
    <row r="418" spans="4:43" ht="28.5" customHeight="1">
      <c r="D418" s="1">
        <v>45</v>
      </c>
      <c r="AC418" s="1130" t="s">
        <v>1509</v>
      </c>
      <c r="AD418" s="1130"/>
      <c r="AE418" s="1130"/>
      <c r="AF418" s="403" t="s">
        <v>1033</v>
      </c>
      <c r="AG418" s="1135"/>
      <c r="AH418" s="1136"/>
      <c r="AI418" s="1135"/>
      <c r="AJ418" s="1136"/>
    </row>
    <row r="419" spans="4:43" ht="28.5" customHeight="1">
      <c r="D419" s="1">
        <v>45</v>
      </c>
    </row>
    <row r="420" spans="4:43" ht="14.25" customHeight="1">
      <c r="D420" s="1">
        <v>23</v>
      </c>
      <c r="AB420" s="1078" t="s">
        <v>1828</v>
      </c>
      <c r="AC420" s="781"/>
      <c r="AD420" s="781"/>
      <c r="AE420" s="781"/>
      <c r="AF420" s="781"/>
      <c r="AG420" s="781"/>
      <c r="AH420" s="781"/>
      <c r="AI420" s="781"/>
      <c r="AJ420" s="781"/>
      <c r="AK420" s="781"/>
      <c r="AL420" s="781"/>
      <c r="AM420" s="781"/>
      <c r="AN420" s="781"/>
      <c r="AO420" s="781"/>
      <c r="AP420" s="781"/>
      <c r="AQ420" s="781"/>
    </row>
    <row r="421" spans="4:43" ht="28.5" customHeight="1">
      <c r="D421" s="1">
        <v>45</v>
      </c>
      <c r="AB421" s="1038"/>
      <c r="AC421" s="1038"/>
      <c r="AD421" s="1038"/>
      <c r="AE421" s="1038"/>
      <c r="AF421" s="1038"/>
      <c r="AG421" s="1038"/>
      <c r="AH421" s="1038"/>
      <c r="AI421" s="1038"/>
      <c r="AJ421" s="1038"/>
      <c r="AK421" s="1038"/>
      <c r="AL421" s="1038"/>
      <c r="AM421" s="1038"/>
      <c r="AN421" s="1038"/>
      <c r="AO421" s="1038"/>
      <c r="AP421" s="1038"/>
      <c r="AQ421" s="1038"/>
    </row>
    <row r="422" spans="4:43" ht="28.5" customHeight="1">
      <c r="D422" s="1">
        <v>45</v>
      </c>
      <c r="AB422" s="1038"/>
      <c r="AC422" s="1038"/>
      <c r="AD422" s="1038"/>
      <c r="AE422" s="1038"/>
      <c r="AF422" s="1038"/>
      <c r="AG422" s="1038"/>
      <c r="AH422" s="1038"/>
      <c r="AI422" s="1038"/>
      <c r="AJ422" s="1038"/>
      <c r="AK422" s="1038"/>
      <c r="AL422" s="1038"/>
      <c r="AM422" s="1038"/>
      <c r="AN422" s="1038"/>
      <c r="AO422" s="1038"/>
      <c r="AP422" s="1038"/>
      <c r="AQ422" s="1038"/>
    </row>
    <row r="423" spans="4:43" ht="28.5" customHeight="1">
      <c r="D423" s="1">
        <v>45</v>
      </c>
      <c r="AB423" s="1038"/>
      <c r="AC423" s="1038"/>
      <c r="AD423" s="1038"/>
      <c r="AE423" s="1038"/>
      <c r="AF423" s="1038"/>
      <c r="AG423" s="1038"/>
      <c r="AH423" s="1038"/>
      <c r="AI423" s="1038"/>
      <c r="AJ423" s="1038"/>
      <c r="AK423" s="1038"/>
      <c r="AL423" s="1038"/>
      <c r="AM423" s="1038"/>
      <c r="AN423" s="1038"/>
      <c r="AO423" s="1038"/>
      <c r="AP423" s="1038"/>
      <c r="AQ423" s="1038"/>
    </row>
    <row r="424" spans="4:43" ht="28.5" hidden="1" customHeight="1">
      <c r="D424" s="1">
        <v>0</v>
      </c>
      <c r="AB424" s="781"/>
      <c r="AC424" s="781"/>
      <c r="AD424" s="781"/>
      <c r="AE424" s="781"/>
      <c r="AF424" s="781"/>
      <c r="AG424" s="781"/>
      <c r="AH424" s="781"/>
      <c r="AI424" s="781"/>
      <c r="AJ424" s="781"/>
      <c r="AK424" s="781"/>
      <c r="AL424" s="781"/>
      <c r="AM424" s="781"/>
      <c r="AN424" s="781"/>
      <c r="AO424" s="781"/>
      <c r="AP424" s="781"/>
      <c r="AQ424" s="781"/>
    </row>
    <row r="425" spans="4:43" ht="14.25" customHeight="1" outlineLevel="1">
      <c r="D425" s="1">
        <v>23</v>
      </c>
      <c r="AB425" s="1078" t="s">
        <v>1543</v>
      </c>
      <c r="AC425" s="781"/>
      <c r="AD425" s="781"/>
      <c r="AE425" s="781"/>
      <c r="AF425" s="781"/>
      <c r="AG425" s="781"/>
      <c r="AH425" s="781"/>
      <c r="AI425" s="781"/>
      <c r="AJ425" s="781"/>
      <c r="AK425" s="781"/>
      <c r="AL425" s="781"/>
      <c r="AM425" s="781"/>
      <c r="AN425" s="781"/>
      <c r="AO425" s="781"/>
      <c r="AP425" s="781"/>
      <c r="AQ425" s="781"/>
    </row>
    <row r="426" spans="4:43" ht="14.25" customHeight="1" outlineLevel="1">
      <c r="D426" s="1">
        <v>23</v>
      </c>
    </row>
    <row r="427" spans="4:43" ht="28.5" customHeight="1" outlineLevel="1">
      <c r="D427" s="1">
        <v>45</v>
      </c>
      <c r="AB427" s="832" t="s">
        <v>1829</v>
      </c>
      <c r="AC427" s="781"/>
      <c r="AD427" s="781"/>
      <c r="AE427" s="781"/>
      <c r="AF427" s="781"/>
      <c r="AG427" s="781"/>
      <c r="AH427" s="781"/>
      <c r="AI427" s="781"/>
      <c r="AJ427" s="781"/>
      <c r="AK427" s="781"/>
      <c r="AL427" s="781"/>
      <c r="AM427" s="781"/>
      <c r="AN427" s="781"/>
      <c r="AO427" s="781"/>
      <c r="AP427" s="781"/>
      <c r="AQ427" s="781"/>
    </row>
    <row r="428" spans="4:43" ht="17.25" customHeight="1" outlineLevel="1">
      <c r="D428" s="1">
        <v>28</v>
      </c>
      <c r="AB428" s="832" t="s">
        <v>1830</v>
      </c>
      <c r="AC428" s="781"/>
      <c r="AD428" s="781"/>
      <c r="AE428" s="781"/>
      <c r="AF428" s="781"/>
      <c r="AG428" s="781"/>
      <c r="AH428" s="781"/>
      <c r="AI428" s="781"/>
      <c r="AJ428" s="781"/>
      <c r="AK428" s="781"/>
      <c r="AL428" s="781"/>
      <c r="AM428" s="781"/>
      <c r="AN428" s="781"/>
      <c r="AO428" s="781"/>
      <c r="AP428" s="781"/>
      <c r="AQ428" s="781"/>
    </row>
    <row r="429" spans="4:43" ht="16.5" customHeight="1" outlineLevel="1">
      <c r="D429" s="1">
        <v>26</v>
      </c>
      <c r="AB429" s="832" t="s">
        <v>1831</v>
      </c>
      <c r="AC429" s="781"/>
      <c r="AD429" s="781"/>
      <c r="AE429" s="781"/>
      <c r="AF429" s="781"/>
      <c r="AG429" s="781"/>
      <c r="AH429" s="781"/>
      <c r="AI429" s="781"/>
      <c r="AJ429" s="781"/>
      <c r="AK429" s="781"/>
      <c r="AL429" s="781"/>
      <c r="AM429" s="781"/>
      <c r="AN429" s="781"/>
      <c r="AO429" s="781"/>
      <c r="AP429" s="781"/>
      <c r="AQ429" s="781"/>
    </row>
    <row r="430" spans="4:43" ht="16.5" customHeight="1" outlineLevel="1">
      <c r="D430" s="1">
        <v>26</v>
      </c>
      <c r="AB430" s="832" t="s">
        <v>1832</v>
      </c>
      <c r="AC430" s="781"/>
      <c r="AD430" s="781"/>
      <c r="AE430" s="781"/>
      <c r="AF430" s="781"/>
      <c r="AG430" s="781"/>
      <c r="AH430" s="781"/>
      <c r="AI430" s="781"/>
      <c r="AJ430" s="781"/>
      <c r="AK430" s="781"/>
      <c r="AL430" s="781"/>
      <c r="AM430" s="781"/>
      <c r="AN430" s="781"/>
      <c r="AO430" s="781"/>
      <c r="AP430" s="781"/>
      <c r="AQ430" s="781"/>
    </row>
    <row r="431" spans="4:43" ht="16.5" customHeight="1" outlineLevel="1">
      <c r="D431" s="1">
        <v>26</v>
      </c>
      <c r="AB431" s="832" t="s">
        <v>1833</v>
      </c>
      <c r="AC431" s="781"/>
      <c r="AD431" s="781"/>
      <c r="AE431" s="781"/>
      <c r="AF431" s="781"/>
      <c r="AG431" s="781"/>
      <c r="AH431" s="781"/>
      <c r="AI431" s="781"/>
      <c r="AJ431" s="781"/>
      <c r="AK431" s="781"/>
      <c r="AL431" s="781"/>
      <c r="AM431" s="781"/>
      <c r="AN431" s="781"/>
      <c r="AO431" s="781"/>
      <c r="AP431" s="781"/>
      <c r="AQ431" s="781"/>
    </row>
    <row r="432" spans="4:43" ht="16.5" customHeight="1" outlineLevel="1">
      <c r="D432" s="1">
        <v>26</v>
      </c>
      <c r="AB432" s="832" t="s">
        <v>1834</v>
      </c>
      <c r="AC432" s="781"/>
      <c r="AD432" s="781"/>
      <c r="AE432" s="781"/>
      <c r="AF432" s="781"/>
      <c r="AG432" s="781"/>
      <c r="AH432" s="781"/>
      <c r="AI432" s="781"/>
      <c r="AJ432" s="781"/>
      <c r="AK432" s="781"/>
      <c r="AL432" s="781"/>
      <c r="AM432" s="781"/>
      <c r="AN432" s="781"/>
      <c r="AO432" s="781"/>
      <c r="AP432" s="781"/>
      <c r="AQ432" s="781"/>
    </row>
    <row r="433" spans="4:43" ht="16.5" customHeight="1" outlineLevel="1">
      <c r="D433" s="1">
        <v>26</v>
      </c>
      <c r="AB433" s="832" t="s">
        <v>1835</v>
      </c>
      <c r="AC433" s="781"/>
      <c r="AD433" s="781"/>
      <c r="AE433" s="781"/>
      <c r="AF433" s="781"/>
      <c r="AG433" s="781"/>
      <c r="AH433" s="781"/>
      <c r="AI433" s="781"/>
      <c r="AJ433" s="781"/>
      <c r="AK433" s="781"/>
      <c r="AL433" s="781"/>
      <c r="AM433" s="781"/>
      <c r="AN433" s="781"/>
      <c r="AO433" s="781"/>
      <c r="AP433" s="781"/>
      <c r="AQ433" s="781"/>
    </row>
    <row r="434" spans="4:43" ht="16.5" customHeight="1" outlineLevel="1">
      <c r="D434" s="1">
        <v>26</v>
      </c>
      <c r="AB434" s="832" t="s">
        <v>1836</v>
      </c>
      <c r="AC434" s="781"/>
      <c r="AD434" s="781"/>
      <c r="AE434" s="781"/>
      <c r="AF434" s="781"/>
      <c r="AG434" s="781"/>
      <c r="AH434" s="781"/>
      <c r="AI434" s="781"/>
      <c r="AJ434" s="781"/>
      <c r="AK434" s="781"/>
      <c r="AL434" s="781"/>
      <c r="AM434" s="781"/>
      <c r="AN434" s="781"/>
      <c r="AO434" s="781"/>
      <c r="AP434" s="781"/>
      <c r="AQ434" s="781"/>
    </row>
    <row r="435" spans="4:43" ht="16.5" customHeight="1" outlineLevel="1">
      <c r="D435" s="1">
        <v>26</v>
      </c>
      <c r="AB435" s="832" t="s">
        <v>1837</v>
      </c>
      <c r="AC435" s="781"/>
      <c r="AD435" s="781"/>
      <c r="AE435" s="781"/>
      <c r="AF435" s="781"/>
      <c r="AG435" s="781"/>
      <c r="AH435" s="781"/>
      <c r="AI435" s="781"/>
      <c r="AJ435" s="781"/>
      <c r="AK435" s="781"/>
      <c r="AL435" s="781"/>
      <c r="AM435" s="781"/>
      <c r="AN435" s="781"/>
      <c r="AO435" s="781"/>
      <c r="AP435" s="781"/>
      <c r="AQ435" s="781"/>
    </row>
    <row r="436" spans="4:43" ht="16.5" customHeight="1" outlineLevel="1">
      <c r="D436" s="1">
        <v>26</v>
      </c>
      <c r="AB436" s="832" t="s">
        <v>1838</v>
      </c>
      <c r="AC436" s="781"/>
      <c r="AD436" s="781"/>
      <c r="AE436" s="781"/>
      <c r="AF436" s="781"/>
      <c r="AG436" s="781"/>
      <c r="AH436" s="781"/>
      <c r="AI436" s="781"/>
      <c r="AJ436" s="781"/>
      <c r="AK436" s="781"/>
      <c r="AL436" s="781"/>
      <c r="AM436" s="781"/>
      <c r="AN436" s="781"/>
      <c r="AO436" s="781"/>
      <c r="AP436" s="781"/>
      <c r="AQ436" s="781"/>
    </row>
    <row r="437" spans="4:43" ht="16.5" customHeight="1" outlineLevel="1">
      <c r="D437" s="1">
        <v>26</v>
      </c>
      <c r="AB437" s="832" t="s">
        <v>1839</v>
      </c>
      <c r="AC437" s="781"/>
      <c r="AD437" s="781"/>
      <c r="AE437" s="781"/>
      <c r="AF437" s="781"/>
      <c r="AG437" s="781"/>
      <c r="AH437" s="781"/>
      <c r="AI437" s="781"/>
      <c r="AJ437" s="781"/>
      <c r="AK437" s="781"/>
      <c r="AL437" s="781"/>
      <c r="AM437" s="781"/>
      <c r="AN437" s="781"/>
      <c r="AO437" s="781"/>
      <c r="AP437" s="781"/>
      <c r="AQ437" s="781"/>
    </row>
    <row r="438" spans="4:43" ht="65.25" customHeight="1" outlineLevel="1">
      <c r="D438" s="1">
        <v>104</v>
      </c>
      <c r="AB438" s="832" t="s">
        <v>1840</v>
      </c>
      <c r="AC438" s="781"/>
      <c r="AD438" s="781"/>
      <c r="AE438" s="781"/>
      <c r="AF438" s="781"/>
      <c r="AG438" s="781"/>
      <c r="AH438" s="781"/>
      <c r="AI438" s="781"/>
      <c r="AJ438" s="781"/>
      <c r="AK438" s="781"/>
      <c r="AL438" s="781"/>
      <c r="AM438" s="781"/>
      <c r="AN438" s="781"/>
      <c r="AO438" s="781"/>
      <c r="AP438" s="781"/>
      <c r="AQ438" s="781"/>
    </row>
    <row r="439" spans="4:43" ht="63" customHeight="1" outlineLevel="1">
      <c r="D439" s="1">
        <v>101</v>
      </c>
      <c r="AB439" s="832" t="s">
        <v>1841</v>
      </c>
      <c r="AC439" s="781"/>
      <c r="AD439" s="781"/>
      <c r="AE439" s="781"/>
      <c r="AF439" s="781"/>
      <c r="AG439" s="781"/>
      <c r="AH439" s="781"/>
      <c r="AI439" s="781"/>
      <c r="AJ439" s="781"/>
      <c r="AK439" s="781"/>
      <c r="AL439" s="781"/>
      <c r="AM439" s="781"/>
      <c r="AN439" s="781"/>
      <c r="AO439" s="781"/>
      <c r="AP439" s="781"/>
      <c r="AQ439" s="781"/>
    </row>
    <row r="440" spans="4:43" ht="35.25" customHeight="1" outlineLevel="1">
      <c r="D440" s="1">
        <v>56</v>
      </c>
      <c r="AB440" s="781"/>
      <c r="AC440" s="781"/>
      <c r="AD440" s="781"/>
      <c r="AE440" s="781"/>
      <c r="AF440" s="781"/>
      <c r="AG440" s="781"/>
      <c r="AH440" s="781"/>
      <c r="AI440" s="781"/>
      <c r="AJ440" s="781"/>
      <c r="AK440" s="781"/>
      <c r="AL440" s="781"/>
      <c r="AM440" s="781"/>
      <c r="AN440" s="781"/>
      <c r="AO440" s="781"/>
      <c r="AP440" s="781"/>
      <c r="AQ440" s="781"/>
    </row>
    <row r="441" spans="4:43" ht="28.5" customHeight="1" outlineLevel="1">
      <c r="D441" s="1">
        <v>45</v>
      </c>
      <c r="AG441" s="29" t="s">
        <v>1842</v>
      </c>
    </row>
    <row r="442" spans="4:43" ht="28.5" customHeight="1" outlineLevel="1">
      <c r="D442" s="1">
        <v>45</v>
      </c>
      <c r="AC442" s="832" t="s">
        <v>1843</v>
      </c>
      <c r="AD442" s="781"/>
      <c r="AE442" s="781"/>
      <c r="AF442" s="781"/>
      <c r="AG442" s="781"/>
      <c r="AH442" s="781"/>
      <c r="AI442" s="781"/>
      <c r="AJ442" s="781"/>
      <c r="AK442" s="781"/>
      <c r="AL442" s="781"/>
      <c r="AM442" s="781"/>
      <c r="AN442" s="781"/>
      <c r="AO442" s="781"/>
      <c r="AP442" s="781"/>
      <c r="AQ442" s="781"/>
    </row>
    <row r="443" spans="4:43" ht="28.5" customHeight="1" outlineLevel="1">
      <c r="D443" s="1">
        <v>45</v>
      </c>
      <c r="AB443" s="781"/>
      <c r="AC443" s="781"/>
      <c r="AD443" s="781"/>
      <c r="AE443" s="781"/>
      <c r="AF443" s="781"/>
      <c r="AG443" s="781"/>
      <c r="AH443" s="781"/>
      <c r="AI443" s="781"/>
      <c r="AJ443" s="781"/>
      <c r="AK443" s="781"/>
      <c r="AL443" s="781"/>
      <c r="AM443" s="781"/>
      <c r="AN443" s="781"/>
      <c r="AO443" s="781"/>
      <c r="AP443" s="781"/>
      <c r="AQ443" s="781"/>
    </row>
    <row r="444" spans="4:43" ht="28.5" hidden="1" customHeight="1" outlineLevel="1">
      <c r="D444" s="1">
        <v>0</v>
      </c>
      <c r="AB444" s="781"/>
      <c r="AC444" s="781"/>
      <c r="AD444" s="781"/>
      <c r="AE444" s="781"/>
      <c r="AF444" s="781"/>
      <c r="AG444" s="781"/>
      <c r="AH444" s="781"/>
      <c r="AI444" s="781"/>
      <c r="AJ444" s="781"/>
      <c r="AK444" s="781"/>
      <c r="AL444" s="781"/>
      <c r="AM444" s="781"/>
      <c r="AN444" s="781"/>
      <c r="AO444" s="781"/>
      <c r="AP444" s="781"/>
      <c r="AQ444" s="781"/>
    </row>
    <row r="445" spans="4:43" ht="28.5" hidden="1" customHeight="1" outlineLevel="1">
      <c r="D445" s="1">
        <v>0</v>
      </c>
      <c r="AB445" s="781"/>
      <c r="AC445" s="781"/>
      <c r="AD445" s="781"/>
      <c r="AE445" s="781"/>
      <c r="AF445" s="781"/>
      <c r="AG445" s="781"/>
      <c r="AH445" s="781"/>
      <c r="AI445" s="781"/>
      <c r="AJ445" s="781"/>
      <c r="AK445" s="781"/>
      <c r="AL445" s="781"/>
      <c r="AM445" s="781"/>
      <c r="AN445" s="781"/>
      <c r="AO445" s="781"/>
      <c r="AP445" s="781"/>
      <c r="AQ445" s="781"/>
    </row>
    <row r="446" spans="4:43" ht="28.5" customHeight="1" outlineLevel="1">
      <c r="D446" s="1">
        <v>45</v>
      </c>
      <c r="AC446" s="47" t="s">
        <v>618</v>
      </c>
      <c r="AD446" s="1103" t="s">
        <v>1551</v>
      </c>
      <c r="AE446" s="831"/>
      <c r="AF446" s="1104"/>
      <c r="AG446" s="47" t="s">
        <v>619</v>
      </c>
      <c r="AH446" s="78">
        <v>0</v>
      </c>
    </row>
    <row r="447" spans="4:43" ht="28.5" customHeight="1" outlineLevel="1">
      <c r="D447" s="1">
        <v>45</v>
      </c>
      <c r="AC447" s="47" t="s">
        <v>930</v>
      </c>
      <c r="AD447" s="1103" t="s">
        <v>1844</v>
      </c>
      <c r="AE447" s="831"/>
      <c r="AF447" s="1104"/>
      <c r="AG447" s="47" t="s">
        <v>619</v>
      </c>
      <c r="AH447" s="78">
        <v>0</v>
      </c>
    </row>
    <row r="448" spans="4:43" ht="28.5" customHeight="1" outlineLevel="1">
      <c r="D448" s="1">
        <v>45</v>
      </c>
      <c r="AC448" s="47" t="s">
        <v>931</v>
      </c>
      <c r="AD448" s="1103" t="s">
        <v>1845</v>
      </c>
      <c r="AE448" s="831"/>
      <c r="AF448" s="1104"/>
      <c r="AG448" s="47" t="s">
        <v>619</v>
      </c>
      <c r="AH448" s="78">
        <v>0</v>
      </c>
    </row>
    <row r="449" spans="4:43" ht="18" customHeight="1" outlineLevel="1">
      <c r="D449" s="1">
        <v>29</v>
      </c>
      <c r="AC449" s="47" t="s">
        <v>932</v>
      </c>
      <c r="AD449" s="1103" t="s">
        <v>1552</v>
      </c>
      <c r="AE449" s="831"/>
      <c r="AF449" s="1104"/>
      <c r="AG449" s="47" t="s">
        <v>633</v>
      </c>
      <c r="AH449" s="128">
        <v>0</v>
      </c>
    </row>
    <row r="450" spans="4:43" ht="18" customHeight="1" outlineLevel="1">
      <c r="D450" s="1">
        <v>29</v>
      </c>
      <c r="AC450" s="47" t="s">
        <v>1553</v>
      </c>
      <c r="AD450" s="1103" t="s">
        <v>1846</v>
      </c>
      <c r="AE450" s="831"/>
      <c r="AF450" s="1104"/>
      <c r="AG450" s="47" t="s">
        <v>633</v>
      </c>
      <c r="AH450" s="128">
        <v>0</v>
      </c>
    </row>
    <row r="451" spans="4:43" ht="18" customHeight="1" outlineLevel="1">
      <c r="D451" s="1">
        <v>29</v>
      </c>
      <c r="AC451" s="47" t="s">
        <v>1554</v>
      </c>
      <c r="AD451" s="1103" t="s">
        <v>1556</v>
      </c>
      <c r="AE451" s="831"/>
      <c r="AF451" s="1104"/>
      <c r="AG451" s="47" t="s">
        <v>633</v>
      </c>
      <c r="AH451" s="128">
        <v>0</v>
      </c>
    </row>
    <row r="452" spans="4:43" ht="18" customHeight="1" outlineLevel="1">
      <c r="D452" s="1">
        <v>29</v>
      </c>
      <c r="AC452" s="47" t="s">
        <v>1555</v>
      </c>
      <c r="AD452" s="1103" t="s">
        <v>1847</v>
      </c>
      <c r="AE452" s="831"/>
      <c r="AF452" s="1104"/>
      <c r="AG452" s="47" t="s">
        <v>549</v>
      </c>
      <c r="AH452" s="78">
        <v>0</v>
      </c>
    </row>
    <row r="453" spans="4:43" ht="18" customHeight="1" outlineLevel="1">
      <c r="D453" s="1">
        <v>29</v>
      </c>
      <c r="AC453" s="47" t="s">
        <v>1557</v>
      </c>
      <c r="AD453" s="1103" t="s">
        <v>1848</v>
      </c>
      <c r="AE453" s="831"/>
      <c r="AF453" s="1104"/>
      <c r="AG453" s="47" t="s">
        <v>696</v>
      </c>
      <c r="AH453" s="78">
        <v>0</v>
      </c>
    </row>
    <row r="454" spans="4:43" ht="18" customHeight="1" outlineLevel="1">
      <c r="D454" s="1">
        <v>29</v>
      </c>
      <c r="AC454" s="47" t="s">
        <v>1558</v>
      </c>
      <c r="AD454" s="1103" t="s">
        <v>1849</v>
      </c>
      <c r="AE454" s="831"/>
      <c r="AF454" s="1104"/>
      <c r="AG454" s="47" t="s">
        <v>696</v>
      </c>
      <c r="AH454" s="78">
        <v>0</v>
      </c>
    </row>
    <row r="455" spans="4:43" ht="28.5" customHeight="1" outlineLevel="1">
      <c r="D455" s="1">
        <v>45</v>
      </c>
    </row>
    <row r="456" spans="4:43" ht="28.5" customHeight="1" outlineLevel="1">
      <c r="D456" s="1">
        <v>45</v>
      </c>
      <c r="AB456" s="832" t="s">
        <v>1563</v>
      </c>
      <c r="AC456" s="781"/>
      <c r="AD456" s="781"/>
      <c r="AE456" s="781"/>
      <c r="AF456" s="781"/>
      <c r="AG456" s="781"/>
      <c r="AH456" s="781"/>
      <c r="AI456" s="781"/>
      <c r="AJ456" s="781"/>
      <c r="AK456" s="781"/>
      <c r="AL456" s="781"/>
      <c r="AM456" s="781"/>
      <c r="AN456" s="781"/>
      <c r="AO456" s="781"/>
      <c r="AP456" s="781"/>
      <c r="AQ456" s="781"/>
    </row>
    <row r="457" spans="4:43" ht="28.5" customHeight="1" outlineLevel="1">
      <c r="D457" s="1">
        <v>45</v>
      </c>
      <c r="AC457" s="832" t="s">
        <v>1850</v>
      </c>
      <c r="AD457" s="781"/>
      <c r="AE457" s="781"/>
      <c r="AF457" s="781"/>
      <c r="AG457" s="781"/>
      <c r="AH457" s="781"/>
      <c r="AI457" s="781"/>
      <c r="AJ457" s="781"/>
      <c r="AK457" s="781"/>
      <c r="AL457" s="781"/>
      <c r="AM457" s="781"/>
      <c r="AN457" s="781"/>
      <c r="AO457" s="781"/>
      <c r="AP457" s="781"/>
      <c r="AQ457" s="781"/>
    </row>
    <row r="458" spans="4:43" ht="18" customHeight="1" outlineLevel="1">
      <c r="D458" s="1">
        <v>29</v>
      </c>
      <c r="AB458" s="832" t="s">
        <v>1566</v>
      </c>
      <c r="AC458" s="781"/>
      <c r="AD458" s="781"/>
      <c r="AE458" s="781"/>
      <c r="AF458" s="781"/>
      <c r="AG458" s="781"/>
      <c r="AH458" s="781"/>
      <c r="AI458" s="781"/>
      <c r="AJ458" s="781"/>
      <c r="AK458" s="781"/>
      <c r="AL458" s="781"/>
      <c r="AM458" s="781"/>
      <c r="AN458" s="781"/>
      <c r="AO458" s="781"/>
      <c r="AP458" s="781"/>
      <c r="AQ458" s="781"/>
    </row>
    <row r="459" spans="4:43" ht="28.5" customHeight="1" outlineLevel="1">
      <c r="D459" s="1">
        <v>45</v>
      </c>
      <c r="AB459" s="832" t="s">
        <v>1851</v>
      </c>
      <c r="AC459" s="781"/>
      <c r="AD459" s="781"/>
      <c r="AE459" s="781"/>
      <c r="AF459" s="781"/>
      <c r="AG459" s="781"/>
      <c r="AH459" s="781"/>
      <c r="AI459" s="781"/>
      <c r="AJ459" s="781"/>
      <c r="AK459" s="781"/>
      <c r="AL459" s="781"/>
      <c r="AM459" s="781"/>
      <c r="AN459" s="781"/>
      <c r="AO459" s="781"/>
      <c r="AP459" s="781"/>
      <c r="AQ459" s="781"/>
    </row>
    <row r="460" spans="4:43" ht="28.5" customHeight="1" outlineLevel="1">
      <c r="D460" s="1">
        <v>45</v>
      </c>
      <c r="AB460" s="832" t="s">
        <v>1852</v>
      </c>
      <c r="AC460" s="781"/>
      <c r="AD460" s="781"/>
      <c r="AE460" s="781"/>
      <c r="AF460" s="781"/>
      <c r="AG460" s="781"/>
      <c r="AH460" s="781"/>
      <c r="AI460" s="781"/>
      <c r="AJ460" s="781"/>
      <c r="AK460" s="781"/>
      <c r="AL460" s="781"/>
      <c r="AM460" s="781"/>
      <c r="AN460" s="781"/>
      <c r="AO460" s="781"/>
      <c r="AP460" s="781"/>
      <c r="AQ460" s="781"/>
    </row>
    <row r="461" spans="4:43" ht="28.5" customHeight="1" outlineLevel="1">
      <c r="D461" s="1">
        <v>45</v>
      </c>
      <c r="AB461" s="781"/>
      <c r="AC461" s="781"/>
      <c r="AD461" s="781"/>
      <c r="AE461" s="781"/>
      <c r="AF461" s="781"/>
      <c r="AG461" s="781"/>
      <c r="AH461" s="781"/>
      <c r="AI461" s="781"/>
      <c r="AJ461" s="781"/>
      <c r="AK461" s="781"/>
      <c r="AL461" s="781"/>
      <c r="AM461" s="781"/>
      <c r="AN461" s="781"/>
      <c r="AO461" s="781"/>
      <c r="AP461" s="781"/>
      <c r="AQ461" s="781"/>
    </row>
    <row r="462" spans="4:43" ht="28.5" hidden="1" customHeight="1" outlineLevel="1">
      <c r="D462" s="1">
        <v>0</v>
      </c>
      <c r="AB462" s="781"/>
      <c r="AC462" s="781"/>
      <c r="AD462" s="781"/>
      <c r="AE462" s="781"/>
      <c r="AF462" s="781"/>
      <c r="AG462" s="781"/>
      <c r="AH462" s="781"/>
      <c r="AI462" s="781"/>
      <c r="AJ462" s="781"/>
      <c r="AK462" s="781"/>
      <c r="AL462" s="781"/>
      <c r="AM462" s="781"/>
      <c r="AN462" s="781"/>
      <c r="AO462" s="781"/>
      <c r="AP462" s="781"/>
      <c r="AQ462" s="781"/>
    </row>
    <row r="463" spans="4:43" ht="45" customHeight="1" outlineLevel="1">
      <c r="D463" s="1">
        <v>72</v>
      </c>
      <c r="AC463" s="798"/>
      <c r="AD463" s="798"/>
      <c r="AE463" s="798"/>
      <c r="AF463" s="798"/>
      <c r="AG463" s="798"/>
      <c r="AH463" s="798"/>
      <c r="AI463" s="66" t="s">
        <v>1853</v>
      </c>
      <c r="AJ463" s="66" t="s">
        <v>1854</v>
      </c>
      <c r="AK463" s="1106" t="s">
        <v>1855</v>
      </c>
      <c r="AL463" s="1107"/>
    </row>
    <row r="464" spans="4:43" ht="18.75" customHeight="1" outlineLevel="1">
      <c r="D464" s="1">
        <v>31</v>
      </c>
      <c r="AC464" s="47" t="s">
        <v>632</v>
      </c>
      <c r="AD464" s="797" t="s">
        <v>986</v>
      </c>
      <c r="AE464" s="797"/>
      <c r="AF464" s="797"/>
      <c r="AG464" s="797"/>
      <c r="AH464" s="47" t="s">
        <v>619</v>
      </c>
      <c r="AI464" s="78">
        <v>0</v>
      </c>
      <c r="AJ464" s="78">
        <v>0</v>
      </c>
      <c r="AK464" s="1105">
        <v>0</v>
      </c>
      <c r="AL464" s="1105"/>
    </row>
    <row r="465" spans="4:38" ht="28.5" customHeight="1" outlineLevel="1">
      <c r="D465" s="1">
        <v>45</v>
      </c>
      <c r="AC465" s="47" t="s">
        <v>762</v>
      </c>
      <c r="AD465" s="797" t="s">
        <v>990</v>
      </c>
      <c r="AE465" s="797"/>
      <c r="AF465" s="797"/>
      <c r="AG465" s="797"/>
      <c r="AH465" s="47" t="s">
        <v>619</v>
      </c>
      <c r="AI465" s="78">
        <v>0</v>
      </c>
      <c r="AJ465" s="78">
        <v>0</v>
      </c>
      <c r="AK465" s="1105">
        <v>0</v>
      </c>
      <c r="AL465" s="1105"/>
    </row>
    <row r="466" spans="4:38" ht="17.25" customHeight="1" outlineLevel="1">
      <c r="D466" s="1">
        <v>28</v>
      </c>
      <c r="AC466" s="47" t="s">
        <v>935</v>
      </c>
      <c r="AD466" s="797" t="s">
        <v>991</v>
      </c>
      <c r="AE466" s="797"/>
      <c r="AF466" s="797"/>
      <c r="AG466" s="797"/>
      <c r="AH466" s="47" t="s">
        <v>619</v>
      </c>
      <c r="AI466" s="78">
        <v>0</v>
      </c>
      <c r="AJ466" s="78">
        <v>0</v>
      </c>
      <c r="AK466" s="1105">
        <v>0</v>
      </c>
      <c r="AL466" s="1105"/>
    </row>
    <row r="467" spans="4:38" ht="17.25" customHeight="1" outlineLevel="1">
      <c r="D467" s="1">
        <v>28</v>
      </c>
      <c r="AC467" s="47" t="s">
        <v>936</v>
      </c>
      <c r="AD467" s="797" t="s">
        <v>992</v>
      </c>
      <c r="AE467" s="797"/>
      <c r="AF467" s="797"/>
      <c r="AG467" s="797"/>
      <c r="AH467" s="47" t="s">
        <v>619</v>
      </c>
      <c r="AI467" s="78">
        <v>0</v>
      </c>
      <c r="AJ467" s="78">
        <v>0</v>
      </c>
      <c r="AK467" s="1105">
        <v>0</v>
      </c>
      <c r="AL467" s="1105"/>
    </row>
    <row r="468" spans="4:38" ht="17.25" customHeight="1" outlineLevel="1">
      <c r="D468" s="1">
        <v>28</v>
      </c>
      <c r="AC468" s="47" t="s">
        <v>763</v>
      </c>
      <c r="AD468" s="797" t="s">
        <v>993</v>
      </c>
      <c r="AE468" s="797"/>
      <c r="AF468" s="797"/>
      <c r="AG468" s="797"/>
      <c r="AH468" s="47" t="s">
        <v>619</v>
      </c>
      <c r="AI468" s="78">
        <v>0</v>
      </c>
      <c r="AJ468" s="78">
        <v>0</v>
      </c>
      <c r="AK468" s="1105">
        <v>0</v>
      </c>
      <c r="AL468" s="1105"/>
    </row>
    <row r="469" spans="4:38" ht="17.25" customHeight="1" outlineLevel="1">
      <c r="D469" s="1">
        <v>28</v>
      </c>
      <c r="AC469" s="47" t="s">
        <v>765</v>
      </c>
      <c r="AD469" s="797" t="s">
        <v>576</v>
      </c>
      <c r="AE469" s="797"/>
      <c r="AF469" s="797"/>
      <c r="AG469" s="797"/>
      <c r="AH469" s="47" t="s">
        <v>619</v>
      </c>
      <c r="AI469" s="78">
        <v>0</v>
      </c>
      <c r="AJ469" s="78">
        <v>0</v>
      </c>
      <c r="AK469" s="1105">
        <v>0</v>
      </c>
      <c r="AL469" s="1105"/>
    </row>
    <row r="470" spans="4:38" ht="17.25" customHeight="1" outlineLevel="1">
      <c r="D470" s="1">
        <v>28</v>
      </c>
      <c r="AC470" s="47" t="s">
        <v>770</v>
      </c>
      <c r="AD470" s="797" t="s">
        <v>996</v>
      </c>
      <c r="AE470" s="797"/>
      <c r="AF470" s="797"/>
      <c r="AG470" s="797"/>
      <c r="AH470" s="47" t="s">
        <v>619</v>
      </c>
      <c r="AI470" s="78">
        <v>0</v>
      </c>
      <c r="AJ470" s="78">
        <v>0</v>
      </c>
      <c r="AK470" s="1105">
        <v>0</v>
      </c>
      <c r="AL470" s="1105"/>
    </row>
    <row r="471" spans="4:38" ht="17.25" customHeight="1" outlineLevel="1">
      <c r="D471" s="1">
        <v>28</v>
      </c>
      <c r="AC471" s="47" t="s">
        <v>907</v>
      </c>
      <c r="AD471" s="797" t="s">
        <v>482</v>
      </c>
      <c r="AE471" s="797"/>
      <c r="AF471" s="797"/>
      <c r="AG471" s="797"/>
      <c r="AH471" s="47" t="s">
        <v>619</v>
      </c>
      <c r="AI471" s="78">
        <v>0</v>
      </c>
      <c r="AJ471" s="78">
        <v>0</v>
      </c>
      <c r="AK471" s="1105">
        <v>0</v>
      </c>
      <c r="AL471" s="1105"/>
    </row>
    <row r="472" spans="4:38" ht="17.25" customHeight="1" outlineLevel="1">
      <c r="D472" s="1">
        <v>28</v>
      </c>
      <c r="AC472" s="47" t="s">
        <v>908</v>
      </c>
      <c r="AD472" s="797" t="s">
        <v>999</v>
      </c>
      <c r="AE472" s="797"/>
      <c r="AF472" s="797"/>
      <c r="AG472" s="797"/>
      <c r="AH472" s="47" t="s">
        <v>619</v>
      </c>
      <c r="AI472" s="78">
        <v>0</v>
      </c>
      <c r="AJ472" s="78">
        <v>0</v>
      </c>
      <c r="AK472" s="1105">
        <v>0</v>
      </c>
      <c r="AL472" s="1105"/>
    </row>
    <row r="473" spans="4:38" ht="15" customHeight="1" outlineLevel="1">
      <c r="D473" s="1">
        <v>24</v>
      </c>
      <c r="AC473" s="47" t="s">
        <v>909</v>
      </c>
      <c r="AD473" s="797" t="s">
        <v>1569</v>
      </c>
      <c r="AE473" s="797"/>
      <c r="AF473" s="797"/>
      <c r="AG473" s="797"/>
      <c r="AH473" s="47" t="s">
        <v>619</v>
      </c>
      <c r="AI473" s="78">
        <v>0</v>
      </c>
      <c r="AJ473" s="78">
        <v>0</v>
      </c>
      <c r="AK473" s="1105">
        <v>0</v>
      </c>
      <c r="AL473" s="1105"/>
    </row>
    <row r="474" spans="4:38" ht="15" customHeight="1" outlineLevel="1">
      <c r="D474" s="1">
        <v>24</v>
      </c>
      <c r="AC474" s="47" t="s">
        <v>910</v>
      </c>
      <c r="AD474" s="797" t="s">
        <v>1000</v>
      </c>
      <c r="AE474" s="797"/>
      <c r="AF474" s="797"/>
      <c r="AG474" s="797"/>
      <c r="AH474" s="47" t="s">
        <v>619</v>
      </c>
      <c r="AI474" s="78">
        <v>0</v>
      </c>
      <c r="AJ474" s="78">
        <v>0</v>
      </c>
      <c r="AK474" s="1105">
        <v>0</v>
      </c>
      <c r="AL474" s="1105"/>
    </row>
    <row r="475" spans="4:38" ht="21.75" customHeight="1" outlineLevel="1">
      <c r="D475" s="1">
        <v>36</v>
      </c>
      <c r="AC475" s="47" t="s">
        <v>982</v>
      </c>
      <c r="AD475" s="797" t="s">
        <v>1002</v>
      </c>
      <c r="AE475" s="797"/>
      <c r="AF475" s="797"/>
      <c r="AG475" s="797"/>
      <c r="AH475" s="47" t="s">
        <v>619</v>
      </c>
      <c r="AI475" s="78">
        <v>0</v>
      </c>
      <c r="AJ475" s="78">
        <v>0</v>
      </c>
      <c r="AK475" s="1105">
        <v>0</v>
      </c>
      <c r="AL475" s="1105"/>
    </row>
    <row r="476" spans="4:38" ht="87.75" customHeight="1" outlineLevel="1">
      <c r="D476" s="1">
        <v>141</v>
      </c>
      <c r="AC476" s="47" t="s">
        <v>983</v>
      </c>
      <c r="AD476" s="797" t="s">
        <v>1007</v>
      </c>
      <c r="AE476" s="797"/>
      <c r="AF476" s="797"/>
      <c r="AG476" s="797"/>
      <c r="AH476" s="47" t="s">
        <v>619</v>
      </c>
      <c r="AI476" s="78">
        <v>0</v>
      </c>
      <c r="AJ476" s="78">
        <v>0</v>
      </c>
      <c r="AK476" s="1105">
        <v>0</v>
      </c>
      <c r="AL476" s="1105"/>
    </row>
    <row r="477" spans="4:38" ht="44.25" customHeight="1" outlineLevel="1">
      <c r="D477" s="1">
        <v>71</v>
      </c>
      <c r="AC477" s="47" t="s">
        <v>1243</v>
      </c>
      <c r="AD477" s="797" t="s">
        <v>1004</v>
      </c>
      <c r="AE477" s="797"/>
      <c r="AF477" s="797"/>
      <c r="AG477" s="797"/>
      <c r="AH477" s="47" t="s">
        <v>619</v>
      </c>
      <c r="AI477" s="78">
        <v>0</v>
      </c>
      <c r="AJ477" s="78">
        <v>0</v>
      </c>
      <c r="AK477" s="1105">
        <v>0</v>
      </c>
      <c r="AL477" s="1105"/>
    </row>
    <row r="478" spans="4:38" ht="38.25" customHeight="1" outlineLevel="1">
      <c r="D478" s="1">
        <v>61</v>
      </c>
      <c r="AC478" s="47" t="s">
        <v>1856</v>
      </c>
      <c r="AD478" s="797" t="s">
        <v>1857</v>
      </c>
      <c r="AE478" s="797"/>
      <c r="AF478" s="797"/>
      <c r="AG478" s="797"/>
      <c r="AH478" s="47" t="s">
        <v>619</v>
      </c>
      <c r="AI478" s="78">
        <v>0</v>
      </c>
      <c r="AJ478" s="78">
        <v>0</v>
      </c>
      <c r="AK478" s="1105">
        <v>0</v>
      </c>
      <c r="AL478" s="1105"/>
    </row>
    <row r="479" spans="4:38" ht="11.25" customHeight="1" outlineLevel="1">
      <c r="D479" s="1">
        <v>18</v>
      </c>
      <c r="AC479" s="47" t="s">
        <v>1858</v>
      </c>
      <c r="AD479" s="797" t="s">
        <v>577</v>
      </c>
      <c r="AE479" s="797"/>
      <c r="AF479" s="797"/>
      <c r="AG479" s="797"/>
      <c r="AH479" s="47" t="s">
        <v>619</v>
      </c>
      <c r="AI479" s="78">
        <v>0</v>
      </c>
      <c r="AJ479" s="78">
        <v>0</v>
      </c>
      <c r="AK479" s="1105">
        <v>0</v>
      </c>
      <c r="AL479" s="1105"/>
    </row>
    <row r="480" spans="4:38" ht="11.25" customHeight="1" outlineLevel="1">
      <c r="D480" s="1">
        <v>18</v>
      </c>
      <c r="AC480" s="47"/>
      <c r="AD480" s="1108" t="s">
        <v>277</v>
      </c>
      <c r="AE480" s="1108"/>
      <c r="AF480" s="1108"/>
      <c r="AG480" s="1108"/>
      <c r="AH480" s="141" t="s">
        <v>619</v>
      </c>
      <c r="AI480" s="1109">
        <v>0</v>
      </c>
      <c r="AJ480" s="1110"/>
      <c r="AK480" s="1110"/>
      <c r="AL480" s="1111"/>
    </row>
    <row r="481" spans="4:43" ht="11.25" customHeight="1" outlineLevel="1">
      <c r="D481" s="1">
        <v>18</v>
      </c>
    </row>
    <row r="482" spans="4:43" ht="11.25" hidden="1" customHeight="1" outlineLevel="1">
      <c r="D482" s="1">
        <v>0</v>
      </c>
    </row>
    <row r="483" spans="4:43" ht="18.75" customHeight="1" outlineLevel="1">
      <c r="D483" s="1">
        <v>31</v>
      </c>
      <c r="AB483" s="832" t="s">
        <v>1570</v>
      </c>
      <c r="AC483" s="781"/>
      <c r="AD483" s="781"/>
      <c r="AE483" s="781"/>
      <c r="AF483" s="781"/>
      <c r="AG483" s="781"/>
      <c r="AH483" s="781"/>
      <c r="AI483" s="781"/>
      <c r="AJ483" s="781"/>
      <c r="AK483" s="781"/>
      <c r="AL483" s="781"/>
      <c r="AM483" s="781"/>
      <c r="AN483" s="781"/>
      <c r="AO483" s="781"/>
      <c r="AP483" s="781"/>
      <c r="AQ483" s="781"/>
    </row>
    <row r="484" spans="4:43" ht="28.5" customHeight="1" outlineLevel="1">
      <c r="D484" s="1">
        <v>45</v>
      </c>
      <c r="AC484" s="832" t="s">
        <v>1859</v>
      </c>
      <c r="AD484" s="781"/>
      <c r="AE484" s="781"/>
      <c r="AF484" s="781"/>
      <c r="AG484" s="781"/>
      <c r="AH484" s="781"/>
      <c r="AI484" s="781"/>
      <c r="AJ484" s="781"/>
      <c r="AK484" s="781"/>
      <c r="AL484" s="781"/>
      <c r="AM484" s="781"/>
      <c r="AN484" s="781"/>
      <c r="AO484" s="781"/>
      <c r="AP484" s="781"/>
      <c r="AQ484" s="781"/>
    </row>
    <row r="485" spans="4:43" ht="28.5" customHeight="1" outlineLevel="1">
      <c r="D485" s="1">
        <v>45</v>
      </c>
      <c r="AB485" s="832" t="s">
        <v>1860</v>
      </c>
      <c r="AC485" s="781"/>
      <c r="AD485" s="781"/>
      <c r="AE485" s="781"/>
      <c r="AF485" s="781"/>
      <c r="AG485" s="781"/>
      <c r="AH485" s="781"/>
      <c r="AI485" s="781"/>
      <c r="AJ485" s="781"/>
      <c r="AK485" s="781"/>
      <c r="AL485" s="781"/>
      <c r="AM485" s="781"/>
      <c r="AN485" s="781"/>
      <c r="AO485" s="781"/>
      <c r="AP485" s="781"/>
      <c r="AQ485" s="781"/>
    </row>
    <row r="486" spans="4:43" ht="28.5" customHeight="1" outlineLevel="1">
      <c r="D486" s="1">
        <v>45</v>
      </c>
      <c r="AB486" s="781"/>
      <c r="AC486" s="781"/>
      <c r="AD486" s="781"/>
      <c r="AE486" s="781"/>
      <c r="AF486" s="781"/>
      <c r="AG486" s="781"/>
      <c r="AH486" s="781"/>
      <c r="AI486" s="781"/>
      <c r="AJ486" s="781"/>
      <c r="AK486" s="781"/>
      <c r="AL486" s="781"/>
      <c r="AM486" s="781"/>
      <c r="AN486" s="781"/>
      <c r="AO486" s="781"/>
      <c r="AP486" s="781"/>
      <c r="AQ486" s="781"/>
    </row>
    <row r="487" spans="4:43" ht="28.5" customHeight="1" outlineLevel="1">
      <c r="D487" s="1">
        <v>45</v>
      </c>
      <c r="AB487" s="1038"/>
      <c r="AC487" s="1038"/>
      <c r="AD487" s="1038"/>
      <c r="AE487" s="1038"/>
      <c r="AF487" s="1038"/>
      <c r="AG487" s="1038"/>
      <c r="AH487" s="1038"/>
      <c r="AI487" s="1038"/>
      <c r="AJ487" s="1038"/>
      <c r="AK487" s="1038"/>
      <c r="AL487" s="1038"/>
      <c r="AM487" s="1038"/>
      <c r="AN487" s="1038"/>
      <c r="AO487" s="1038"/>
      <c r="AP487" s="1038"/>
      <c r="AQ487" s="1038"/>
    </row>
    <row r="488" spans="4:43" ht="28.5" customHeight="1" outlineLevel="1">
      <c r="D488" s="1">
        <v>45</v>
      </c>
      <c r="AB488" s="1038"/>
      <c r="AC488" s="1038"/>
      <c r="AD488" s="1038"/>
      <c r="AE488" s="1038"/>
      <c r="AF488" s="1038"/>
      <c r="AG488" s="1038"/>
      <c r="AH488" s="1038"/>
      <c r="AI488" s="1038"/>
      <c r="AJ488" s="1038"/>
      <c r="AK488" s="1038"/>
      <c r="AL488" s="1038"/>
      <c r="AM488" s="1038"/>
      <c r="AN488" s="1038"/>
      <c r="AO488" s="1038"/>
      <c r="AP488" s="1038"/>
      <c r="AQ488" s="1038"/>
    </row>
    <row r="489" spans="4:43" ht="11.25" hidden="1" customHeight="1" outlineLevel="1">
      <c r="D489" s="1">
        <v>0</v>
      </c>
    </row>
    <row r="490" spans="4:43" ht="11.25" customHeight="1" outlineLevel="1">
      <c r="D490" s="1">
        <v>18</v>
      </c>
      <c r="AB490" s="375"/>
      <c r="AC490" s="375"/>
      <c r="AD490" s="375"/>
      <c r="AE490" s="375"/>
      <c r="AF490" s="375"/>
      <c r="AG490" s="375"/>
      <c r="AH490" s="375"/>
      <c r="AI490" s="375"/>
      <c r="AJ490" s="375"/>
      <c r="AK490" s="375"/>
      <c r="AL490" s="375"/>
      <c r="AM490" s="375"/>
      <c r="AN490" s="375"/>
      <c r="AO490" s="375"/>
      <c r="AP490" s="375"/>
      <c r="AQ490" s="375"/>
    </row>
    <row r="491" spans="4:43" ht="11.25" customHeight="1" outlineLevel="1">
      <c r="D491" s="1">
        <v>18</v>
      </c>
      <c r="AB491" s="375"/>
      <c r="AC491" s="375"/>
      <c r="AD491" s="375"/>
      <c r="AE491" s="375"/>
      <c r="AF491" s="375"/>
      <c r="AG491" s="375"/>
      <c r="AH491" s="375"/>
      <c r="AI491" s="375"/>
      <c r="AJ491" s="375"/>
      <c r="AK491" s="375"/>
      <c r="AL491" s="375"/>
      <c r="AM491" s="375"/>
      <c r="AN491" s="375"/>
      <c r="AO491" s="375"/>
      <c r="AP491" s="375"/>
      <c r="AQ491" s="375"/>
    </row>
    <row r="492" spans="4:43" ht="11.25" customHeight="1" outlineLevel="1">
      <c r="D492" s="1">
        <v>18</v>
      </c>
      <c r="AB492" s="375"/>
      <c r="AC492" s="375"/>
      <c r="AD492" s="375"/>
      <c r="AE492" s="375"/>
      <c r="AF492" s="375"/>
      <c r="AG492" s="375"/>
      <c r="AH492" s="375"/>
      <c r="AI492" s="375"/>
      <c r="AJ492" s="375"/>
      <c r="AK492" s="375"/>
      <c r="AL492" s="375"/>
      <c r="AM492" s="375"/>
      <c r="AN492" s="375"/>
      <c r="AO492" s="375"/>
      <c r="AP492" s="375"/>
      <c r="AQ492" s="375"/>
    </row>
    <row r="493" spans="4:43" ht="11.25" customHeight="1" outlineLevel="1">
      <c r="D493" s="1">
        <v>18</v>
      </c>
      <c r="AB493" s="375"/>
      <c r="AC493" s="375"/>
      <c r="AD493" s="375"/>
      <c r="AE493" s="375"/>
      <c r="AF493" s="375"/>
      <c r="AG493" s="375"/>
      <c r="AH493" s="375"/>
      <c r="AI493" s="375"/>
      <c r="AJ493" s="375"/>
      <c r="AK493" s="375"/>
      <c r="AL493" s="375"/>
      <c r="AM493" s="375"/>
      <c r="AN493" s="375"/>
      <c r="AO493" s="375"/>
      <c r="AP493" s="375"/>
      <c r="AQ493" s="375"/>
    </row>
    <row r="494" spans="4:43" ht="11.25" customHeight="1" outlineLevel="1">
      <c r="D494" s="1">
        <v>18</v>
      </c>
      <c r="AB494" s="375"/>
      <c r="AC494" s="375"/>
      <c r="AD494" s="375"/>
      <c r="AE494" s="375"/>
      <c r="AF494" s="375"/>
      <c r="AG494" s="375"/>
      <c r="AH494" s="375"/>
      <c r="AI494" s="375"/>
      <c r="AJ494" s="375"/>
      <c r="AK494" s="375"/>
      <c r="AL494" s="375"/>
      <c r="AM494" s="375"/>
      <c r="AN494" s="375"/>
      <c r="AO494" s="375"/>
      <c r="AP494" s="375"/>
      <c r="AQ494" s="375"/>
    </row>
    <row r="495" spans="4:43" ht="11.25" customHeight="1" outlineLevel="1">
      <c r="D495" s="1">
        <v>18</v>
      </c>
      <c r="AB495" s="375"/>
      <c r="AC495" s="375"/>
      <c r="AD495" s="375"/>
      <c r="AE495" s="375"/>
      <c r="AF495" s="375"/>
      <c r="AG495" s="375"/>
      <c r="AH495" s="375"/>
      <c r="AI495" s="375"/>
      <c r="AJ495" s="375"/>
      <c r="AK495" s="375"/>
      <c r="AL495" s="375"/>
      <c r="AM495" s="375"/>
      <c r="AN495" s="375"/>
      <c r="AO495" s="375"/>
      <c r="AP495" s="375"/>
      <c r="AQ495" s="375"/>
    </row>
    <row r="496" spans="4:43" ht="11.25" customHeight="1" outlineLevel="1">
      <c r="D496" s="1">
        <v>18</v>
      </c>
      <c r="AB496" s="375"/>
      <c r="AC496" s="375"/>
      <c r="AD496" s="375"/>
      <c r="AE496" s="375"/>
      <c r="AF496" s="375"/>
      <c r="AG496" s="375"/>
      <c r="AH496" s="375"/>
      <c r="AI496" s="375"/>
      <c r="AJ496" s="375"/>
      <c r="AK496" s="375"/>
      <c r="AL496" s="375"/>
      <c r="AM496" s="375"/>
      <c r="AN496" s="375"/>
      <c r="AO496" s="375"/>
      <c r="AP496" s="375"/>
      <c r="AQ496" s="375"/>
    </row>
    <row r="497" spans="4:43" ht="11.25" customHeight="1" outlineLevel="1">
      <c r="D497" s="1">
        <v>18</v>
      </c>
      <c r="AB497" s="375"/>
      <c r="AC497" s="375"/>
      <c r="AD497" s="375"/>
      <c r="AE497" s="375"/>
      <c r="AF497" s="375"/>
      <c r="AG497" s="375"/>
      <c r="AH497" s="375"/>
      <c r="AI497" s="375"/>
      <c r="AJ497" s="375"/>
      <c r="AK497" s="375"/>
      <c r="AL497" s="375"/>
      <c r="AM497" s="375"/>
      <c r="AN497" s="375"/>
      <c r="AO497" s="375"/>
      <c r="AP497" s="375"/>
      <c r="AQ497" s="375"/>
    </row>
    <row r="498" spans="4:43" ht="11.25" customHeight="1" outlineLevel="1">
      <c r="D498" s="1">
        <v>18</v>
      </c>
      <c r="AB498" s="375"/>
      <c r="AC498" s="375"/>
      <c r="AD498" s="375"/>
      <c r="AE498" s="375"/>
      <c r="AF498" s="375"/>
      <c r="AG498" s="375"/>
      <c r="AH498" s="375"/>
      <c r="AI498" s="375"/>
      <c r="AJ498" s="375"/>
      <c r="AK498" s="375"/>
      <c r="AL498" s="375"/>
      <c r="AM498" s="375"/>
      <c r="AN498" s="375"/>
      <c r="AO498" s="375"/>
      <c r="AP498" s="375"/>
      <c r="AQ498" s="375"/>
    </row>
    <row r="499" spans="4:43" ht="11.25" customHeight="1" outlineLevel="1">
      <c r="D499" s="1">
        <v>18</v>
      </c>
      <c r="AB499" s="375"/>
      <c r="AC499" s="375"/>
      <c r="AD499" s="375"/>
      <c r="AE499" s="375"/>
      <c r="AF499" s="375"/>
      <c r="AG499" s="375"/>
      <c r="AH499" s="375"/>
      <c r="AI499" s="375"/>
      <c r="AJ499" s="375"/>
      <c r="AK499" s="375"/>
      <c r="AL499" s="375"/>
      <c r="AM499" s="375"/>
      <c r="AN499" s="375"/>
      <c r="AO499" s="375"/>
      <c r="AP499" s="375"/>
      <c r="AQ499" s="375"/>
    </row>
    <row r="500" spans="4:43" ht="11.25" customHeight="1" outlineLevel="1">
      <c r="D500" s="1">
        <v>18</v>
      </c>
      <c r="AB500" s="375"/>
      <c r="AC500" s="375"/>
      <c r="AD500" s="375"/>
      <c r="AE500" s="375"/>
      <c r="AF500" s="375"/>
      <c r="AG500" s="375"/>
      <c r="AH500" s="375"/>
      <c r="AI500" s="375"/>
      <c r="AJ500" s="375"/>
      <c r="AK500" s="375"/>
      <c r="AL500" s="375"/>
      <c r="AM500" s="375"/>
      <c r="AN500" s="375"/>
      <c r="AO500" s="375"/>
      <c r="AP500" s="375"/>
      <c r="AQ500" s="375"/>
    </row>
    <row r="501" spans="4:43" ht="11.25" customHeight="1" outlineLevel="1">
      <c r="D501" s="1">
        <v>18</v>
      </c>
      <c r="AB501" s="375"/>
      <c r="AC501" s="375"/>
      <c r="AD501" s="375"/>
      <c r="AE501" s="375"/>
      <c r="AF501" s="375"/>
      <c r="AG501" s="375"/>
      <c r="AH501" s="375"/>
      <c r="AI501" s="375"/>
      <c r="AJ501" s="375"/>
      <c r="AK501" s="375"/>
      <c r="AL501" s="375"/>
      <c r="AM501" s="375"/>
      <c r="AN501" s="375"/>
      <c r="AO501" s="375"/>
      <c r="AP501" s="375"/>
      <c r="AQ501" s="375"/>
    </row>
    <row r="502" spans="4:43" ht="11.25" customHeight="1" outlineLevel="1">
      <c r="D502" s="1">
        <v>18</v>
      </c>
      <c r="AB502" s="375"/>
      <c r="AC502" s="375"/>
      <c r="AD502" s="375"/>
      <c r="AE502" s="375"/>
      <c r="AF502" s="375"/>
      <c r="AG502" s="375"/>
      <c r="AH502" s="375"/>
      <c r="AI502" s="375"/>
      <c r="AJ502" s="375"/>
      <c r="AK502" s="375"/>
      <c r="AL502" s="375"/>
      <c r="AM502" s="375"/>
      <c r="AN502" s="375"/>
      <c r="AO502" s="375"/>
      <c r="AP502" s="375"/>
      <c r="AQ502" s="375"/>
    </row>
    <row r="503" spans="4:43" ht="11.25" customHeight="1" outlineLevel="1">
      <c r="D503" s="1">
        <v>18</v>
      </c>
      <c r="AB503" s="375"/>
      <c r="AC503" s="375"/>
      <c r="AD503" s="375"/>
      <c r="AE503" s="375"/>
      <c r="AF503" s="375"/>
      <c r="AG503" s="375"/>
      <c r="AH503" s="375"/>
      <c r="AI503" s="375"/>
      <c r="AJ503" s="375"/>
      <c r="AK503" s="375"/>
      <c r="AL503" s="375"/>
      <c r="AM503" s="375"/>
      <c r="AN503" s="375"/>
      <c r="AO503" s="375"/>
      <c r="AP503" s="375"/>
      <c r="AQ503" s="375"/>
    </row>
    <row r="504" spans="4:43" ht="11.25" customHeight="1" outlineLevel="1">
      <c r="D504" s="1">
        <v>18</v>
      </c>
      <c r="AB504" s="375"/>
      <c r="AC504" s="375"/>
      <c r="AD504" s="375"/>
      <c r="AE504" s="375"/>
      <c r="AF504" s="375"/>
      <c r="AG504" s="375"/>
      <c r="AH504" s="375"/>
      <c r="AI504" s="375"/>
      <c r="AJ504" s="375"/>
      <c r="AK504" s="375"/>
      <c r="AL504" s="375"/>
      <c r="AM504" s="375"/>
      <c r="AN504" s="375"/>
      <c r="AO504" s="375"/>
      <c r="AP504" s="375"/>
      <c r="AQ504" s="375"/>
    </row>
    <row r="505" spans="4:43" ht="11.25" customHeight="1" outlineLevel="1">
      <c r="D505" s="1">
        <v>18</v>
      </c>
      <c r="AB505" s="375"/>
      <c r="AC505" s="375"/>
      <c r="AD505" s="375"/>
      <c r="AE505" s="375"/>
      <c r="AF505" s="375"/>
      <c r="AG505" s="375"/>
      <c r="AH505" s="375"/>
      <c r="AI505" s="375"/>
      <c r="AJ505" s="375"/>
      <c r="AK505" s="375"/>
      <c r="AL505" s="375"/>
      <c r="AM505" s="375"/>
      <c r="AN505" s="375"/>
      <c r="AO505" s="375"/>
      <c r="AP505" s="375"/>
      <c r="AQ505" s="375"/>
    </row>
    <row r="506" spans="4:43" ht="11.25" customHeight="1" outlineLevel="1">
      <c r="D506" s="1">
        <v>18</v>
      </c>
      <c r="AB506" s="375"/>
      <c r="AC506" s="375"/>
      <c r="AD506" s="375"/>
      <c r="AE506" s="375"/>
      <c r="AF506" s="375"/>
      <c r="AG506" s="375"/>
      <c r="AH506" s="375"/>
      <c r="AI506" s="375"/>
      <c r="AJ506" s="375"/>
      <c r="AK506" s="375"/>
      <c r="AL506" s="375"/>
      <c r="AM506" s="375"/>
      <c r="AN506" s="375"/>
      <c r="AO506" s="375"/>
      <c r="AP506" s="375"/>
      <c r="AQ506" s="375"/>
    </row>
    <row r="507" spans="4:43" ht="11.25" hidden="1" customHeight="1" outlineLevel="1">
      <c r="D507" s="1">
        <v>0</v>
      </c>
    </row>
    <row r="508" spans="4:43" ht="18.75" customHeight="1" outlineLevel="1">
      <c r="D508" s="1">
        <v>31</v>
      </c>
      <c r="AB508" s="832" t="s">
        <v>1577</v>
      </c>
      <c r="AC508" s="781"/>
      <c r="AD508" s="781"/>
      <c r="AE508" s="781"/>
      <c r="AF508" s="781"/>
      <c r="AG508" s="781"/>
      <c r="AH508" s="781"/>
      <c r="AI508" s="781"/>
      <c r="AJ508" s="781"/>
      <c r="AK508" s="781"/>
      <c r="AL508" s="781"/>
      <c r="AM508" s="781"/>
      <c r="AN508" s="781"/>
      <c r="AO508" s="781"/>
      <c r="AP508" s="781"/>
      <c r="AQ508" s="781"/>
    </row>
    <row r="509" spans="4:43" ht="40.5" customHeight="1" outlineLevel="1">
      <c r="D509" s="1">
        <v>64</v>
      </c>
      <c r="AB509" s="832" t="s">
        <v>1578</v>
      </c>
      <c r="AC509" s="781"/>
      <c r="AD509" s="781"/>
      <c r="AE509" s="781"/>
      <c r="AF509" s="781"/>
      <c r="AG509" s="781"/>
      <c r="AH509" s="781"/>
      <c r="AI509" s="781"/>
      <c r="AJ509" s="781"/>
      <c r="AK509" s="781"/>
      <c r="AL509" s="781"/>
      <c r="AM509" s="781"/>
      <c r="AN509" s="781"/>
      <c r="AO509" s="781"/>
      <c r="AP509" s="781"/>
      <c r="AQ509" s="781"/>
    </row>
    <row r="510" spans="4:43" ht="18.75" customHeight="1" outlineLevel="1">
      <c r="D510" s="1">
        <v>31</v>
      </c>
      <c r="AB510" s="832" t="s">
        <v>1579</v>
      </c>
      <c r="AC510" s="781"/>
      <c r="AD510" s="781"/>
      <c r="AE510" s="781"/>
      <c r="AF510" s="781"/>
      <c r="AG510" s="781"/>
      <c r="AH510" s="781"/>
      <c r="AI510" s="781"/>
      <c r="AJ510" s="781"/>
      <c r="AK510" s="781"/>
      <c r="AL510" s="781"/>
      <c r="AM510" s="781"/>
      <c r="AN510" s="781"/>
      <c r="AO510" s="781"/>
      <c r="AP510" s="781"/>
      <c r="AQ510" s="781"/>
    </row>
    <row r="511" spans="4:43" ht="18.75" customHeight="1" outlineLevel="1">
      <c r="D511" s="1">
        <v>31</v>
      </c>
      <c r="AB511" s="781"/>
      <c r="AC511" s="781"/>
      <c r="AD511" s="781"/>
      <c r="AE511" s="781"/>
      <c r="AF511" s="781"/>
      <c r="AG511" s="781"/>
      <c r="AH511" s="781"/>
      <c r="AI511" s="781"/>
      <c r="AJ511" s="781"/>
      <c r="AK511" s="781"/>
      <c r="AL511" s="781"/>
      <c r="AM511" s="781"/>
      <c r="AN511" s="781"/>
      <c r="AO511" s="781"/>
      <c r="AP511" s="781"/>
      <c r="AQ511" s="781"/>
    </row>
    <row r="512" spans="4:43" ht="18.75" hidden="1" customHeight="1" outlineLevel="1">
      <c r="D512" s="1">
        <v>0</v>
      </c>
      <c r="AB512" s="781"/>
      <c r="AC512" s="781"/>
      <c r="AD512" s="781"/>
      <c r="AE512" s="781"/>
      <c r="AF512" s="781"/>
      <c r="AG512" s="781"/>
      <c r="AH512" s="781"/>
      <c r="AI512" s="781"/>
      <c r="AJ512" s="781"/>
      <c r="AK512" s="781"/>
      <c r="AL512" s="781"/>
      <c r="AM512" s="781"/>
      <c r="AN512" s="781"/>
      <c r="AO512" s="781"/>
      <c r="AP512" s="781"/>
      <c r="AQ512" s="781"/>
    </row>
    <row r="513" spans="4:43" ht="18.75" hidden="1" customHeight="1" outlineLevel="1">
      <c r="D513" s="1">
        <v>0</v>
      </c>
    </row>
    <row r="514" spans="4:43" ht="26.25" customHeight="1" outlineLevel="1">
      <c r="D514" s="1">
        <v>42</v>
      </c>
      <c r="AC514" s="47" t="s">
        <v>625</v>
      </c>
      <c r="AD514" s="1112" t="s">
        <v>1580</v>
      </c>
      <c r="AE514" s="1113"/>
      <c r="AF514" s="1114"/>
      <c r="AG514" s="47" t="s">
        <v>619</v>
      </c>
      <c r="AH514" s="78">
        <v>0</v>
      </c>
    </row>
    <row r="515" spans="4:43" ht="27.75" customHeight="1" outlineLevel="1">
      <c r="D515" s="1">
        <v>45</v>
      </c>
      <c r="AC515" s="47" t="s">
        <v>1221</v>
      </c>
      <c r="AD515" s="1112" t="s">
        <v>1861</v>
      </c>
      <c r="AE515" s="1113"/>
      <c r="AF515" s="1114"/>
      <c r="AG515" s="47" t="s">
        <v>916</v>
      </c>
      <c r="AH515" s="78">
        <v>0</v>
      </c>
    </row>
    <row r="516" spans="4:43" ht="26.25" customHeight="1" outlineLevel="1">
      <c r="D516" s="1">
        <v>42</v>
      </c>
      <c r="AC516" s="47" t="s">
        <v>1222</v>
      </c>
      <c r="AD516" s="1112" t="s">
        <v>1862</v>
      </c>
      <c r="AE516" s="1113"/>
      <c r="AF516" s="1114"/>
      <c r="AG516" s="47" t="s">
        <v>916</v>
      </c>
      <c r="AH516" s="78">
        <v>0</v>
      </c>
    </row>
    <row r="517" spans="4:43" ht="24" customHeight="1" outlineLevel="1">
      <c r="D517" s="1">
        <v>39</v>
      </c>
      <c r="AC517" s="47" t="s">
        <v>1230</v>
      </c>
      <c r="AD517" s="1112" t="s">
        <v>1863</v>
      </c>
      <c r="AE517" s="1113"/>
      <c r="AF517" s="1114"/>
      <c r="AG517" s="47" t="s">
        <v>1581</v>
      </c>
      <c r="AH517" s="78">
        <v>0</v>
      </c>
    </row>
    <row r="518" spans="4:43" ht="37.5" customHeight="1" outlineLevel="1">
      <c r="D518" s="1">
        <v>61</v>
      </c>
      <c r="AC518" s="47" t="s">
        <v>1231</v>
      </c>
      <c r="AD518" s="1112" t="s">
        <v>1864</v>
      </c>
      <c r="AE518" s="1113"/>
      <c r="AF518" s="1114"/>
      <c r="AG518" s="47" t="s">
        <v>633</v>
      </c>
      <c r="AH518" s="128">
        <v>0</v>
      </c>
    </row>
    <row r="519" spans="4:43" ht="30" customHeight="1" outlineLevel="1">
      <c r="D519" s="1">
        <v>48</v>
      </c>
      <c r="AC519" s="47" t="s">
        <v>1232</v>
      </c>
      <c r="AD519" s="1112" t="s">
        <v>1865</v>
      </c>
      <c r="AE519" s="1113"/>
      <c r="AF519" s="1114"/>
      <c r="AG519" s="47" t="s">
        <v>1581</v>
      </c>
      <c r="AH519" s="78">
        <v>0</v>
      </c>
    </row>
    <row r="520" spans="4:43" ht="11.25" customHeight="1" outlineLevel="1">
      <c r="D520" s="1">
        <v>18</v>
      </c>
    </row>
    <row r="521" spans="4:43" ht="18.75" customHeight="1" outlineLevel="1">
      <c r="D521" s="1">
        <v>31</v>
      </c>
      <c r="AB521" s="832" t="s">
        <v>1866</v>
      </c>
      <c r="AC521" s="781"/>
      <c r="AD521" s="781"/>
      <c r="AE521" s="781"/>
      <c r="AF521" s="781"/>
      <c r="AG521" s="781"/>
      <c r="AH521" s="781"/>
      <c r="AI521" s="781"/>
      <c r="AJ521" s="781"/>
      <c r="AK521" s="781"/>
      <c r="AL521" s="781"/>
      <c r="AM521" s="781"/>
      <c r="AN521" s="781"/>
      <c r="AO521" s="781"/>
      <c r="AP521" s="781"/>
      <c r="AQ521" s="781"/>
    </row>
    <row r="522" spans="4:43" ht="11.25" customHeight="1" outlineLevel="1">
      <c r="D522" s="1">
        <v>18</v>
      </c>
    </row>
    <row r="523" spans="4:43" ht="30.75" customHeight="1" outlineLevel="1">
      <c r="D523" s="1">
        <v>50</v>
      </c>
      <c r="AC523" s="376" t="s">
        <v>530</v>
      </c>
      <c r="AD523" s="1112" t="s">
        <v>1590</v>
      </c>
      <c r="AE523" s="1113"/>
      <c r="AF523" s="1114"/>
      <c r="AG523" s="47" t="s">
        <v>619</v>
      </c>
      <c r="AH523" s="78">
        <v>0</v>
      </c>
    </row>
    <row r="524" spans="4:43" ht="30.75" customHeight="1" outlineLevel="1">
      <c r="D524" s="1">
        <v>50</v>
      </c>
      <c r="AC524" s="376" t="s">
        <v>632</v>
      </c>
      <c r="AD524" s="1112" t="s">
        <v>1867</v>
      </c>
      <c r="AE524" s="1113"/>
      <c r="AF524" s="1114"/>
      <c r="AG524" s="47" t="s">
        <v>619</v>
      </c>
      <c r="AH524" s="78">
        <v>0</v>
      </c>
    </row>
    <row r="525" spans="4:43" ht="51.75" customHeight="1" outlineLevel="1">
      <c r="D525" s="1">
        <v>84</v>
      </c>
      <c r="AC525" s="376" t="s">
        <v>955</v>
      </c>
      <c r="AD525" s="1112" t="s">
        <v>1868</v>
      </c>
      <c r="AE525" s="1113"/>
      <c r="AF525" s="1114"/>
      <c r="AG525" s="47" t="s">
        <v>619</v>
      </c>
      <c r="AH525" s="78">
        <v>0</v>
      </c>
    </row>
    <row r="526" spans="4:43" ht="38.25" customHeight="1" outlineLevel="1">
      <c r="D526" s="1">
        <v>61</v>
      </c>
      <c r="AC526" s="376" t="s">
        <v>956</v>
      </c>
      <c r="AD526" s="1112" t="s">
        <v>1869</v>
      </c>
      <c r="AE526" s="1113"/>
      <c r="AF526" s="1114"/>
      <c r="AG526" s="47" t="s">
        <v>619</v>
      </c>
      <c r="AH526" s="78">
        <v>0</v>
      </c>
    </row>
    <row r="527" spans="4:43" ht="30.75" customHeight="1" outlineLevel="1">
      <c r="D527" s="1">
        <v>50</v>
      </c>
      <c r="AC527" s="376" t="s">
        <v>1870</v>
      </c>
      <c r="AD527" s="1112" t="s">
        <v>1871</v>
      </c>
      <c r="AE527" s="1113"/>
      <c r="AF527" s="1114"/>
      <c r="AG527" s="47" t="s">
        <v>619</v>
      </c>
      <c r="AH527" s="78">
        <v>0</v>
      </c>
    </row>
    <row r="528" spans="4:43" ht="11.25" customHeight="1" outlineLevel="1">
      <c r="D528" s="1">
        <v>18</v>
      </c>
    </row>
    <row r="529" spans="4:43" ht="18.75" customHeight="1" outlineLevel="1">
      <c r="D529" s="1">
        <v>31</v>
      </c>
      <c r="AB529" s="832" t="s">
        <v>1872</v>
      </c>
      <c r="AC529" s="781"/>
      <c r="AD529" s="781"/>
      <c r="AE529" s="781"/>
      <c r="AF529" s="781"/>
      <c r="AG529" s="781"/>
      <c r="AH529" s="781"/>
      <c r="AI529" s="781"/>
      <c r="AJ529" s="781"/>
      <c r="AK529" s="781"/>
      <c r="AL529" s="781"/>
      <c r="AM529" s="781"/>
      <c r="AN529" s="781"/>
      <c r="AO529" s="781"/>
      <c r="AP529" s="781"/>
      <c r="AQ529" s="781"/>
    </row>
    <row r="530" spans="4:43" ht="18.75" customHeight="1" outlineLevel="1">
      <c r="D530" s="1">
        <v>31</v>
      </c>
      <c r="AB530" s="832" t="s">
        <v>1591</v>
      </c>
      <c r="AC530" s="781"/>
      <c r="AD530" s="781"/>
      <c r="AE530" s="781"/>
      <c r="AF530" s="781"/>
      <c r="AG530" s="781"/>
      <c r="AH530" s="781"/>
      <c r="AI530" s="781"/>
      <c r="AJ530" s="781"/>
      <c r="AK530" s="781"/>
      <c r="AL530" s="781"/>
      <c r="AM530" s="781"/>
      <c r="AN530" s="781"/>
      <c r="AO530" s="781"/>
      <c r="AP530" s="781"/>
      <c r="AQ530" s="781"/>
    </row>
    <row r="531" spans="4:43" ht="64.5" customHeight="1" outlineLevel="1">
      <c r="D531" s="1">
        <v>103</v>
      </c>
      <c r="AB531" s="832" t="s">
        <v>1873</v>
      </c>
      <c r="AC531" s="781"/>
      <c r="AD531" s="781"/>
      <c r="AE531" s="781"/>
      <c r="AF531" s="781"/>
      <c r="AG531" s="781"/>
      <c r="AH531" s="781"/>
      <c r="AI531" s="781"/>
      <c r="AJ531" s="781"/>
      <c r="AK531" s="781"/>
      <c r="AL531" s="781"/>
      <c r="AM531" s="781"/>
      <c r="AN531" s="781"/>
      <c r="AO531" s="781"/>
      <c r="AP531" s="781"/>
      <c r="AQ531" s="781"/>
    </row>
    <row r="532" spans="4:43" ht="38.25" customHeight="1" outlineLevel="1">
      <c r="D532" s="1">
        <v>61</v>
      </c>
      <c r="AB532" s="832" t="s">
        <v>1874</v>
      </c>
      <c r="AC532" s="781"/>
      <c r="AD532" s="781"/>
      <c r="AE532" s="781"/>
      <c r="AF532" s="781"/>
      <c r="AG532" s="781"/>
      <c r="AH532" s="781"/>
      <c r="AI532" s="781"/>
      <c r="AJ532" s="781"/>
      <c r="AK532" s="781"/>
      <c r="AL532" s="781"/>
      <c r="AM532" s="781"/>
      <c r="AN532" s="781"/>
      <c r="AO532" s="781"/>
      <c r="AP532" s="781"/>
      <c r="AQ532" s="781"/>
    </row>
    <row r="533" spans="4:43" ht="44.25" customHeight="1" outlineLevel="1">
      <c r="D533" s="1">
        <v>71</v>
      </c>
      <c r="AB533" s="832" t="s">
        <v>1875</v>
      </c>
      <c r="AC533" s="781"/>
      <c r="AD533" s="781"/>
      <c r="AE533" s="781"/>
      <c r="AF533" s="781"/>
      <c r="AG533" s="781"/>
      <c r="AH533" s="781"/>
      <c r="AI533" s="781"/>
      <c r="AJ533" s="781"/>
      <c r="AK533" s="781"/>
      <c r="AL533" s="781"/>
      <c r="AM533" s="781"/>
      <c r="AN533" s="781"/>
      <c r="AO533" s="781"/>
      <c r="AP533" s="781"/>
      <c r="AQ533" s="781"/>
    </row>
    <row r="534" spans="4:43" ht="18.75" customHeight="1" outlineLevel="1">
      <c r="D534" s="1">
        <v>31</v>
      </c>
      <c r="AB534" s="832" t="s">
        <v>1876</v>
      </c>
      <c r="AC534" s="781"/>
      <c r="AD534" s="781"/>
      <c r="AE534" s="781"/>
      <c r="AF534" s="781"/>
      <c r="AG534" s="781"/>
      <c r="AH534" s="781"/>
      <c r="AI534" s="781"/>
      <c r="AJ534" s="781"/>
      <c r="AK534" s="781"/>
      <c r="AL534" s="781"/>
      <c r="AM534" s="781"/>
      <c r="AN534" s="781"/>
      <c r="AO534" s="781"/>
      <c r="AP534" s="781"/>
      <c r="AQ534" s="781"/>
    </row>
    <row r="535" spans="4:43" ht="36" customHeight="1" outlineLevel="1">
      <c r="D535" s="1">
        <v>58</v>
      </c>
      <c r="AB535" s="832" t="s">
        <v>1595</v>
      </c>
      <c r="AC535" s="781"/>
      <c r="AD535" s="781"/>
      <c r="AE535" s="781"/>
      <c r="AF535" s="781"/>
      <c r="AG535" s="781"/>
      <c r="AH535" s="781"/>
      <c r="AI535" s="781"/>
      <c r="AJ535" s="781"/>
      <c r="AK535" s="781"/>
      <c r="AL535" s="781"/>
      <c r="AM535" s="781"/>
      <c r="AN535" s="781"/>
      <c r="AO535" s="781"/>
      <c r="AP535" s="781"/>
      <c r="AQ535" s="781"/>
    </row>
    <row r="536" spans="4:43" ht="18.75" customHeight="1" outlineLevel="1">
      <c r="D536" s="1">
        <v>31</v>
      </c>
      <c r="AB536" s="832" t="s">
        <v>1596</v>
      </c>
      <c r="AC536" s="781"/>
      <c r="AD536" s="781"/>
      <c r="AE536" s="781"/>
      <c r="AF536" s="781"/>
      <c r="AG536" s="781"/>
      <c r="AH536" s="781"/>
      <c r="AI536" s="781"/>
      <c r="AJ536" s="781"/>
      <c r="AK536" s="781"/>
      <c r="AL536" s="781"/>
      <c r="AM536" s="781"/>
      <c r="AN536" s="781"/>
      <c r="AO536" s="781"/>
      <c r="AP536" s="781"/>
      <c r="AQ536" s="781"/>
    </row>
    <row r="537" spans="4:43" ht="18.75" customHeight="1" outlineLevel="1">
      <c r="D537" s="1">
        <v>31</v>
      </c>
      <c r="AB537" s="832" t="s">
        <v>1597</v>
      </c>
      <c r="AC537" s="781"/>
      <c r="AD537" s="781"/>
      <c r="AE537" s="781"/>
      <c r="AF537" s="781"/>
      <c r="AG537" s="781"/>
      <c r="AH537" s="781"/>
      <c r="AI537" s="781"/>
      <c r="AJ537" s="781"/>
      <c r="AK537" s="781"/>
      <c r="AL537" s="781"/>
      <c r="AM537" s="781"/>
      <c r="AN537" s="781"/>
      <c r="AO537" s="781"/>
      <c r="AP537" s="781"/>
      <c r="AQ537" s="781"/>
    </row>
    <row r="538" spans="4:43" ht="18.75" customHeight="1" outlineLevel="1">
      <c r="D538" s="1">
        <v>31</v>
      </c>
      <c r="AB538" s="832" t="s">
        <v>1598</v>
      </c>
      <c r="AC538" s="781"/>
      <c r="AD538" s="781"/>
      <c r="AE538" s="781"/>
      <c r="AF538" s="781"/>
      <c r="AG538" s="781"/>
      <c r="AH538" s="781"/>
      <c r="AI538" s="781"/>
      <c r="AJ538" s="781"/>
      <c r="AK538" s="781"/>
      <c r="AL538" s="781"/>
      <c r="AM538" s="781"/>
      <c r="AN538" s="781"/>
      <c r="AO538" s="781"/>
      <c r="AP538" s="781"/>
      <c r="AQ538" s="781"/>
    </row>
    <row r="539" spans="4:43" ht="18.75" customHeight="1" outlineLevel="1">
      <c r="D539" s="1">
        <v>31</v>
      </c>
      <c r="AB539" s="832" t="s">
        <v>1598</v>
      </c>
      <c r="AC539" s="781"/>
      <c r="AD539" s="781"/>
      <c r="AE539" s="781"/>
      <c r="AF539" s="781"/>
      <c r="AG539" s="781"/>
      <c r="AH539" s="781"/>
      <c r="AI539" s="781"/>
      <c r="AJ539" s="781"/>
      <c r="AK539" s="781"/>
      <c r="AL539" s="781"/>
      <c r="AM539" s="781"/>
      <c r="AN539" s="781"/>
      <c r="AO539" s="781"/>
      <c r="AP539" s="781"/>
      <c r="AQ539" s="781"/>
    </row>
    <row r="540" spans="4:43" ht="18.75" customHeight="1" outlineLevel="1">
      <c r="D540" s="1">
        <v>31</v>
      </c>
      <c r="AB540" s="832" t="s">
        <v>1598</v>
      </c>
      <c r="AC540" s="781"/>
      <c r="AD540" s="781"/>
      <c r="AE540" s="781"/>
      <c r="AF540" s="781"/>
      <c r="AG540" s="781"/>
      <c r="AH540" s="781"/>
      <c r="AI540" s="781"/>
      <c r="AJ540" s="781"/>
      <c r="AK540" s="781"/>
      <c r="AL540" s="781"/>
      <c r="AM540" s="781"/>
      <c r="AN540" s="781"/>
      <c r="AO540" s="781"/>
      <c r="AP540" s="781"/>
      <c r="AQ540" s="781"/>
    </row>
    <row r="541" spans="4:43" ht="18.75" customHeight="1" outlineLevel="1">
      <c r="D541" s="1">
        <v>31</v>
      </c>
    </row>
    <row r="542" spans="4:43" ht="11.25" customHeight="1" outlineLevel="1">
      <c r="D542" s="1">
        <v>18</v>
      </c>
      <c r="AB542" s="375"/>
      <c r="AC542" s="375"/>
      <c r="AD542" s="375"/>
      <c r="AE542" s="375"/>
      <c r="AF542" s="375"/>
      <c r="AG542" s="375"/>
      <c r="AH542" s="375"/>
      <c r="AI542" s="375"/>
      <c r="AJ542" s="375"/>
      <c r="AK542" s="375"/>
      <c r="AL542" s="375"/>
      <c r="AM542" s="375"/>
      <c r="AN542" s="375"/>
      <c r="AO542" s="375"/>
      <c r="AP542" s="375"/>
      <c r="AQ542" s="375"/>
    </row>
    <row r="543" spans="4:43" ht="11.25" customHeight="1" outlineLevel="1">
      <c r="D543" s="1">
        <v>18</v>
      </c>
      <c r="AB543" s="375"/>
      <c r="AC543" s="375"/>
      <c r="AD543" s="375"/>
      <c r="AE543" s="375"/>
      <c r="AF543" s="375"/>
      <c r="AG543" s="375"/>
      <c r="AH543" s="375"/>
      <c r="AI543" s="375"/>
      <c r="AJ543" s="375"/>
      <c r="AK543" s="375"/>
      <c r="AL543" s="375"/>
      <c r="AM543" s="375"/>
      <c r="AN543" s="375"/>
      <c r="AO543" s="375"/>
      <c r="AP543" s="375"/>
      <c r="AQ543" s="375"/>
    </row>
    <row r="544" spans="4:43" ht="11.25" customHeight="1" outlineLevel="1">
      <c r="D544" s="1">
        <v>18</v>
      </c>
      <c r="AB544" s="375"/>
      <c r="AC544" s="375"/>
      <c r="AD544" s="375"/>
      <c r="AE544" s="375"/>
      <c r="AF544" s="375"/>
      <c r="AG544" s="375"/>
      <c r="AH544" s="375"/>
      <c r="AI544" s="375"/>
      <c r="AJ544" s="375"/>
      <c r="AK544" s="375"/>
      <c r="AL544" s="375"/>
      <c r="AM544" s="375"/>
      <c r="AN544" s="375"/>
      <c r="AO544" s="375"/>
      <c r="AP544" s="375"/>
      <c r="AQ544" s="375"/>
    </row>
    <row r="545" spans="4:43" ht="11.25" customHeight="1" outlineLevel="1">
      <c r="D545" s="1">
        <v>18</v>
      </c>
      <c r="AB545" s="375"/>
      <c r="AC545" s="375"/>
      <c r="AD545" s="375"/>
      <c r="AE545" s="375"/>
      <c r="AF545" s="375"/>
      <c r="AG545" s="375"/>
      <c r="AH545" s="375"/>
      <c r="AI545" s="375"/>
      <c r="AJ545" s="375"/>
      <c r="AK545" s="375"/>
      <c r="AL545" s="375"/>
      <c r="AM545" s="375"/>
      <c r="AN545" s="375"/>
      <c r="AO545" s="375"/>
      <c r="AP545" s="375"/>
      <c r="AQ545" s="375"/>
    </row>
    <row r="546" spans="4:43" ht="11.25" customHeight="1" outlineLevel="1">
      <c r="D546" s="1">
        <v>18</v>
      </c>
      <c r="AB546" s="375"/>
      <c r="AC546" s="375"/>
      <c r="AD546" s="375"/>
      <c r="AE546" s="375"/>
      <c r="AF546" s="375"/>
      <c r="AG546" s="375"/>
      <c r="AH546" s="375"/>
      <c r="AI546" s="375"/>
      <c r="AJ546" s="375"/>
      <c r="AK546" s="375"/>
      <c r="AL546" s="375"/>
      <c r="AM546" s="375"/>
      <c r="AN546" s="375"/>
      <c r="AO546" s="375"/>
      <c r="AP546" s="375"/>
      <c r="AQ546" s="375"/>
    </row>
    <row r="547" spans="4:43" ht="11.25" customHeight="1" outlineLevel="1">
      <c r="D547" s="1">
        <v>18</v>
      </c>
      <c r="AB547" s="375"/>
      <c r="AC547" s="375"/>
      <c r="AD547" s="375"/>
      <c r="AE547" s="375"/>
      <c r="AF547" s="375"/>
      <c r="AG547" s="375"/>
      <c r="AH547" s="375"/>
      <c r="AI547" s="375"/>
      <c r="AJ547" s="375"/>
      <c r="AK547" s="375"/>
      <c r="AL547" s="375"/>
      <c r="AM547" s="375"/>
      <c r="AN547" s="375"/>
      <c r="AO547" s="375"/>
      <c r="AP547" s="375"/>
      <c r="AQ547" s="375"/>
    </row>
    <row r="548" spans="4:43" ht="11.25" customHeight="1" outlineLevel="1">
      <c r="D548" s="1">
        <v>18</v>
      </c>
      <c r="AB548" s="375"/>
      <c r="AC548" s="375"/>
      <c r="AD548" s="375"/>
      <c r="AE548" s="375"/>
      <c r="AF548" s="375"/>
      <c r="AG548" s="375"/>
      <c r="AH548" s="375"/>
      <c r="AI548" s="375"/>
      <c r="AJ548" s="375"/>
      <c r="AK548" s="375"/>
      <c r="AL548" s="375"/>
      <c r="AM548" s="375"/>
      <c r="AN548" s="375"/>
      <c r="AO548" s="375"/>
      <c r="AP548" s="375"/>
      <c r="AQ548" s="375"/>
    </row>
    <row r="549" spans="4:43" ht="11.25" customHeight="1" outlineLevel="1">
      <c r="D549" s="1">
        <v>18</v>
      </c>
      <c r="AB549" s="375"/>
      <c r="AC549" s="375"/>
      <c r="AD549" s="375"/>
      <c r="AE549" s="375"/>
      <c r="AF549" s="375"/>
      <c r="AG549" s="375"/>
      <c r="AH549" s="375"/>
      <c r="AI549" s="375"/>
      <c r="AJ549" s="375"/>
      <c r="AK549" s="375"/>
      <c r="AL549" s="375"/>
      <c r="AM549" s="375"/>
      <c r="AN549" s="375"/>
      <c r="AO549" s="375"/>
      <c r="AP549" s="375"/>
      <c r="AQ549" s="375"/>
    </row>
    <row r="550" spans="4:43" ht="11.25" customHeight="1" outlineLevel="1">
      <c r="D550" s="1">
        <v>18</v>
      </c>
      <c r="AB550" s="375"/>
      <c r="AC550" s="375"/>
      <c r="AD550" s="375"/>
      <c r="AE550" s="375"/>
      <c r="AF550" s="375"/>
      <c r="AG550" s="375"/>
      <c r="AH550" s="375"/>
      <c r="AI550" s="375"/>
      <c r="AJ550" s="375"/>
      <c r="AK550" s="375"/>
      <c r="AL550" s="375"/>
      <c r="AM550" s="375"/>
      <c r="AN550" s="375"/>
      <c r="AO550" s="375"/>
      <c r="AP550" s="375"/>
      <c r="AQ550" s="375"/>
    </row>
    <row r="551" spans="4:43" ht="11.25" customHeight="1" outlineLevel="1">
      <c r="D551" s="1">
        <v>18</v>
      </c>
      <c r="AB551" s="375"/>
      <c r="AC551" s="375"/>
      <c r="AD551" s="375"/>
      <c r="AE551" s="375"/>
      <c r="AF551" s="375"/>
      <c r="AG551" s="375"/>
      <c r="AH551" s="375"/>
      <c r="AI551" s="375"/>
      <c r="AJ551" s="375"/>
      <c r="AK551" s="375"/>
      <c r="AL551" s="375"/>
      <c r="AM551" s="375"/>
      <c r="AN551" s="375"/>
      <c r="AO551" s="375"/>
      <c r="AP551" s="375"/>
      <c r="AQ551" s="375"/>
    </row>
    <row r="552" spans="4:43" ht="11.25" customHeight="1" outlineLevel="1">
      <c r="D552" s="1">
        <v>18</v>
      </c>
      <c r="AB552" s="375"/>
      <c r="AC552" s="375"/>
      <c r="AD552" s="375"/>
      <c r="AE552" s="375"/>
      <c r="AF552" s="375"/>
      <c r="AG552" s="375"/>
      <c r="AH552" s="375"/>
      <c r="AI552" s="375"/>
      <c r="AJ552" s="375"/>
      <c r="AK552" s="375"/>
      <c r="AL552" s="375"/>
      <c r="AM552" s="375"/>
      <c r="AN552" s="375"/>
      <c r="AO552" s="375"/>
      <c r="AP552" s="375"/>
      <c r="AQ552" s="375"/>
    </row>
    <row r="553" spans="4:43" ht="11.25" customHeight="1" outlineLevel="1">
      <c r="D553" s="1">
        <v>18</v>
      </c>
      <c r="AB553" s="375"/>
      <c r="AC553" s="375"/>
      <c r="AD553" s="375"/>
      <c r="AE553" s="375"/>
      <c r="AF553" s="375"/>
      <c r="AG553" s="375"/>
      <c r="AH553" s="375"/>
      <c r="AI553" s="375"/>
      <c r="AJ553" s="375"/>
      <c r="AK553" s="375"/>
      <c r="AL553" s="375"/>
      <c r="AM553" s="375"/>
      <c r="AN553" s="375"/>
      <c r="AO553" s="375"/>
      <c r="AP553" s="375"/>
      <c r="AQ553" s="375"/>
    </row>
    <row r="554" spans="4:43" ht="11.25" customHeight="1" outlineLevel="1">
      <c r="D554" s="1">
        <v>18</v>
      </c>
      <c r="AB554" s="375"/>
      <c r="AC554" s="375"/>
      <c r="AD554" s="375"/>
      <c r="AE554" s="375"/>
      <c r="AF554" s="375"/>
      <c r="AG554" s="375"/>
      <c r="AH554" s="375"/>
      <c r="AI554" s="375"/>
      <c r="AJ554" s="375"/>
      <c r="AK554" s="375"/>
      <c r="AL554" s="375"/>
      <c r="AM554" s="375"/>
      <c r="AN554" s="375"/>
      <c r="AO554" s="375"/>
      <c r="AP554" s="375"/>
      <c r="AQ554" s="375"/>
    </row>
    <row r="555" spans="4:43" ht="11.25" customHeight="1" outlineLevel="1">
      <c r="D555" s="1">
        <v>18</v>
      </c>
      <c r="AB555" s="375"/>
      <c r="AC555" s="375"/>
      <c r="AD555" s="375"/>
      <c r="AE555" s="375"/>
      <c r="AF555" s="375"/>
      <c r="AG555" s="375"/>
      <c r="AH555" s="375"/>
      <c r="AI555" s="375"/>
      <c r="AJ555" s="375"/>
      <c r="AK555" s="375"/>
      <c r="AL555" s="375"/>
      <c r="AM555" s="375"/>
      <c r="AN555" s="375"/>
      <c r="AO555" s="375"/>
      <c r="AP555" s="375"/>
      <c r="AQ555" s="375"/>
    </row>
    <row r="556" spans="4:43" ht="11.25" customHeight="1" outlineLevel="1">
      <c r="D556" s="1">
        <v>18</v>
      </c>
      <c r="AB556" s="375"/>
      <c r="AC556" s="375"/>
      <c r="AD556" s="375"/>
      <c r="AE556" s="375"/>
      <c r="AF556" s="375"/>
      <c r="AG556" s="375"/>
      <c r="AH556" s="375"/>
      <c r="AI556" s="375"/>
      <c r="AJ556" s="375"/>
      <c r="AK556" s="375"/>
      <c r="AL556" s="375"/>
      <c r="AM556" s="375"/>
      <c r="AN556" s="375"/>
      <c r="AO556" s="375"/>
      <c r="AP556" s="375"/>
      <c r="AQ556" s="375"/>
    </row>
    <row r="557" spans="4:43" ht="11.25" customHeight="1" outlineLevel="1">
      <c r="D557" s="1">
        <v>18</v>
      </c>
      <c r="AB557" s="375"/>
      <c r="AC557" s="375"/>
      <c r="AD557" s="375"/>
      <c r="AE557" s="375"/>
      <c r="AF557" s="375"/>
      <c r="AG557" s="375"/>
      <c r="AH557" s="375"/>
      <c r="AI557" s="375"/>
      <c r="AJ557" s="375"/>
      <c r="AK557" s="375"/>
      <c r="AL557" s="375"/>
      <c r="AM557" s="375"/>
      <c r="AN557" s="375"/>
      <c r="AO557" s="375"/>
      <c r="AP557" s="375"/>
      <c r="AQ557" s="375"/>
    </row>
    <row r="558" spans="4:43" ht="11.25" customHeight="1" outlineLevel="1">
      <c r="D558" s="1">
        <v>18</v>
      </c>
      <c r="AB558" s="375"/>
      <c r="AC558" s="375"/>
      <c r="AD558" s="375"/>
      <c r="AE558" s="375"/>
      <c r="AF558" s="375"/>
      <c r="AG558" s="375"/>
      <c r="AH558" s="375"/>
      <c r="AI558" s="375"/>
      <c r="AJ558" s="375"/>
      <c r="AK558" s="375"/>
      <c r="AL558" s="375"/>
      <c r="AM558" s="375"/>
      <c r="AN558" s="375"/>
      <c r="AO558" s="375"/>
      <c r="AP558" s="375"/>
      <c r="AQ558" s="375"/>
    </row>
    <row r="559" spans="4:43" ht="11.25" customHeight="1" outlineLevel="1">
      <c r="D559" s="1">
        <v>18</v>
      </c>
      <c r="AB559" s="375"/>
      <c r="AC559" s="375"/>
      <c r="AD559" s="375"/>
      <c r="AE559" s="375"/>
      <c r="AF559" s="375"/>
      <c r="AG559" s="375"/>
      <c r="AH559" s="375"/>
      <c r="AI559" s="375"/>
      <c r="AJ559" s="375"/>
      <c r="AK559" s="375"/>
      <c r="AL559" s="375"/>
      <c r="AM559" s="375"/>
      <c r="AN559" s="375"/>
      <c r="AO559" s="375"/>
      <c r="AP559" s="375"/>
      <c r="AQ559" s="375"/>
    </row>
    <row r="560" spans="4:43" ht="11.25" hidden="1" customHeight="1" outlineLevel="1">
      <c r="D560" s="1">
        <v>0</v>
      </c>
    </row>
    <row r="561" spans="4:43" ht="11.25" hidden="1" customHeight="1" outlineLevel="1">
      <c r="D561" s="1">
        <v>0</v>
      </c>
    </row>
    <row r="562" spans="4:43" ht="18.75" customHeight="1" outlineLevel="1">
      <c r="D562" s="1">
        <v>31</v>
      </c>
      <c r="AB562" s="832" t="s">
        <v>1599</v>
      </c>
      <c r="AC562" s="781"/>
      <c r="AD562" s="781"/>
      <c r="AE562" s="781"/>
      <c r="AF562" s="781"/>
      <c r="AG562" s="781"/>
      <c r="AH562" s="781"/>
      <c r="AI562" s="781"/>
      <c r="AJ562" s="781"/>
      <c r="AK562" s="781"/>
      <c r="AL562" s="781"/>
      <c r="AM562" s="781"/>
      <c r="AN562" s="781"/>
      <c r="AO562" s="781"/>
      <c r="AP562" s="781"/>
      <c r="AQ562" s="781"/>
    </row>
    <row r="563" spans="4:43" ht="14.25" customHeight="1" outlineLevel="1">
      <c r="D563" s="1">
        <v>23</v>
      </c>
      <c r="AC563" s="168" t="s">
        <v>536</v>
      </c>
      <c r="AD563" s="1115" t="s">
        <v>1012</v>
      </c>
      <c r="AE563" s="1116"/>
      <c r="AF563" s="1117"/>
      <c r="AG563" s="1118"/>
      <c r="AH563" s="1119"/>
      <c r="AI563" s="1119"/>
      <c r="AJ563" s="1119"/>
    </row>
    <row r="564" spans="4:43" ht="14.25" customHeight="1" outlineLevel="1">
      <c r="D564" s="1">
        <v>23</v>
      </c>
      <c r="AC564" s="47" t="s">
        <v>705</v>
      </c>
      <c r="AD564" s="797" t="s">
        <v>1013</v>
      </c>
      <c r="AE564" s="797"/>
      <c r="AF564" s="797"/>
      <c r="AG564" s="797"/>
      <c r="AH564" s="797"/>
      <c r="AI564" s="47" t="s">
        <v>619</v>
      </c>
      <c r="AJ564" s="78">
        <v>0</v>
      </c>
    </row>
    <row r="565" spans="4:43" ht="14.25" customHeight="1" outlineLevel="1">
      <c r="D565" s="1">
        <v>23</v>
      </c>
      <c r="AC565" s="47" t="s">
        <v>1600</v>
      </c>
      <c r="AD565" s="797" t="s">
        <v>1014</v>
      </c>
      <c r="AE565" s="797"/>
      <c r="AF565" s="797"/>
      <c r="AG565" s="797"/>
      <c r="AH565" s="797"/>
      <c r="AI565" s="47" t="s">
        <v>619</v>
      </c>
      <c r="AJ565" s="78">
        <v>0</v>
      </c>
    </row>
    <row r="566" spans="4:43" ht="14.25" customHeight="1" outlineLevel="1">
      <c r="D566" s="1">
        <v>23</v>
      </c>
      <c r="AC566" s="47" t="s">
        <v>1601</v>
      </c>
      <c r="AD566" s="797" t="s">
        <v>1015</v>
      </c>
      <c r="AE566" s="797"/>
      <c r="AF566" s="797"/>
      <c r="AG566" s="797"/>
      <c r="AH566" s="797"/>
      <c r="AI566" s="47" t="s">
        <v>619</v>
      </c>
      <c r="AJ566" s="78">
        <v>0</v>
      </c>
    </row>
    <row r="567" spans="4:43" ht="14.25" customHeight="1" outlineLevel="1">
      <c r="D567" s="1">
        <v>23</v>
      </c>
      <c r="AC567" s="47" t="s">
        <v>1602</v>
      </c>
      <c r="AD567" s="797" t="s">
        <v>1016</v>
      </c>
      <c r="AE567" s="797"/>
      <c r="AF567" s="797"/>
      <c r="AG567" s="797"/>
      <c r="AH567" s="797"/>
      <c r="AI567" s="47" t="s">
        <v>619</v>
      </c>
      <c r="AJ567" s="78">
        <v>0</v>
      </c>
    </row>
    <row r="568" spans="4:43" ht="26.25" customHeight="1" outlineLevel="1">
      <c r="D568" s="1">
        <v>42</v>
      </c>
      <c r="AC568" s="47" t="s">
        <v>1603</v>
      </c>
      <c r="AD568" s="797" t="s">
        <v>1017</v>
      </c>
      <c r="AE568" s="797"/>
      <c r="AF568" s="797"/>
      <c r="AG568" s="797"/>
      <c r="AH568" s="797"/>
      <c r="AI568" s="47" t="s">
        <v>619</v>
      </c>
      <c r="AJ568" s="78">
        <v>0</v>
      </c>
    </row>
    <row r="569" spans="4:43" ht="15.75" customHeight="1" outlineLevel="1">
      <c r="D569" s="1">
        <v>26</v>
      </c>
      <c r="AC569" s="47" t="s">
        <v>1604</v>
      </c>
      <c r="AD569" s="797" t="s">
        <v>1018</v>
      </c>
      <c r="AE569" s="797"/>
      <c r="AF569" s="797"/>
      <c r="AG569" s="797"/>
      <c r="AH569" s="797"/>
      <c r="AI569" s="47" t="s">
        <v>619</v>
      </c>
      <c r="AJ569" s="78">
        <v>0</v>
      </c>
    </row>
    <row r="570" spans="4:43" ht="26.25" customHeight="1" outlineLevel="1">
      <c r="D570" s="1">
        <v>42</v>
      </c>
      <c r="AC570" s="47" t="s">
        <v>1605</v>
      </c>
      <c r="AD570" s="797" t="s">
        <v>1019</v>
      </c>
      <c r="AE570" s="797"/>
      <c r="AF570" s="797"/>
      <c r="AG570" s="797"/>
      <c r="AH570" s="797"/>
      <c r="AI570" s="47" t="s">
        <v>619</v>
      </c>
      <c r="AJ570" s="78">
        <v>0</v>
      </c>
    </row>
    <row r="571" spans="4:43" ht="12.75" customHeight="1" outlineLevel="1">
      <c r="D571" s="1">
        <v>21</v>
      </c>
      <c r="AC571" s="47" t="s">
        <v>1606</v>
      </c>
      <c r="AD571" s="797" t="s">
        <v>1020</v>
      </c>
      <c r="AE571" s="797"/>
      <c r="AF571" s="797"/>
      <c r="AG571" s="797"/>
      <c r="AH571" s="797"/>
      <c r="AI571" s="47" t="s">
        <v>619</v>
      </c>
      <c r="AJ571" s="78">
        <v>0</v>
      </c>
    </row>
    <row r="572" spans="4:43" ht="11.25" customHeight="1">
      <c r="D572" s="1">
        <v>20</v>
      </c>
    </row>
    <row r="573" spans="4:43" ht="14.25" customHeight="1" outlineLevel="1">
      <c r="D573" s="1">
        <v>23</v>
      </c>
      <c r="AA573" s="781"/>
      <c r="AB573" s="1078" t="s">
        <v>1877</v>
      </c>
      <c r="AC573" s="781"/>
      <c r="AD573" s="781"/>
      <c r="AE573" s="781"/>
      <c r="AF573" s="781"/>
      <c r="AG573" s="781"/>
      <c r="AH573" s="781"/>
      <c r="AI573" s="781"/>
      <c r="AJ573" s="781"/>
      <c r="AK573" s="781"/>
      <c r="AL573" s="781"/>
      <c r="AM573" s="781"/>
      <c r="AN573" s="781"/>
      <c r="AO573" s="781"/>
      <c r="AP573" s="781"/>
      <c r="AQ573" s="781"/>
    </row>
    <row r="574" spans="4:43" ht="18.75" customHeight="1" outlineLevel="1">
      <c r="D574" s="1">
        <v>31</v>
      </c>
      <c r="AA574" s="781"/>
      <c r="AB574" s="781"/>
      <c r="AC574" s="781"/>
      <c r="AD574" s="781"/>
      <c r="AE574" s="781"/>
      <c r="AF574" s="781"/>
      <c r="AG574" s="781"/>
      <c r="AH574" s="781"/>
      <c r="AI574" s="781"/>
      <c r="AJ574" s="781"/>
      <c r="AK574" s="781"/>
      <c r="AL574" s="781"/>
      <c r="AM574" s="781"/>
      <c r="AN574" s="781"/>
      <c r="AO574" s="781"/>
      <c r="AP574" s="781"/>
      <c r="AQ574" s="781"/>
    </row>
    <row r="575" spans="4:43" ht="26.25" customHeight="1" outlineLevel="1">
      <c r="D575" s="1">
        <v>42</v>
      </c>
      <c r="AB575" s="832" t="s">
        <v>1878</v>
      </c>
      <c r="AC575" s="781"/>
      <c r="AD575" s="781"/>
      <c r="AE575" s="781"/>
      <c r="AF575" s="781"/>
      <c r="AG575" s="781"/>
      <c r="AH575" s="781"/>
      <c r="AI575" s="781"/>
      <c r="AJ575" s="781"/>
      <c r="AK575" s="781"/>
      <c r="AL575" s="781"/>
      <c r="AM575" s="781"/>
      <c r="AN575" s="781"/>
      <c r="AO575" s="781"/>
      <c r="AP575" s="781"/>
      <c r="AQ575" s="781"/>
    </row>
    <row r="576" spans="4:43" ht="14.25" customHeight="1" outlineLevel="1">
      <c r="D576" s="1">
        <v>23</v>
      </c>
      <c r="AB576" s="832" t="s">
        <v>1954</v>
      </c>
      <c r="AC576" s="781"/>
      <c r="AD576" s="781"/>
      <c r="AE576" s="781"/>
      <c r="AF576" s="781"/>
      <c r="AG576" s="781"/>
      <c r="AH576" s="781"/>
      <c r="AI576" s="781"/>
      <c r="AJ576" s="781"/>
      <c r="AK576" s="781"/>
      <c r="AL576" s="781"/>
      <c r="AM576" s="1046"/>
      <c r="AN576" s="1046"/>
      <c r="AO576" s="109" t="s">
        <v>1327</v>
      </c>
      <c r="AP576" s="1046"/>
      <c r="AQ576" s="1046"/>
    </row>
    <row r="577" spans="4:43" ht="60.75" customHeight="1" outlineLevel="1">
      <c r="D577" s="1">
        <v>98</v>
      </c>
      <c r="AB577" s="832" t="s">
        <v>1880</v>
      </c>
      <c r="AC577" s="781"/>
      <c r="AD577" s="781"/>
      <c r="AE577" s="781"/>
      <c r="AF577" s="781"/>
      <c r="AG577" s="781"/>
      <c r="AH577" s="781"/>
      <c r="AI577" s="781"/>
      <c r="AJ577" s="781"/>
      <c r="AK577" s="781"/>
      <c r="AL577" s="781"/>
      <c r="AM577" s="781"/>
      <c r="AN577" s="781"/>
      <c r="AO577" s="781"/>
      <c r="AP577" s="781"/>
      <c r="AQ577" s="781"/>
    </row>
    <row r="578" spans="4:43" ht="33.75" customHeight="1" outlineLevel="1">
      <c r="D578" s="1">
        <v>55</v>
      </c>
      <c r="AB578" s="832" t="s">
        <v>1610</v>
      </c>
      <c r="AC578" s="781"/>
      <c r="AD578" s="781"/>
      <c r="AE578" s="781"/>
      <c r="AF578" s="781"/>
      <c r="AG578" s="781"/>
      <c r="AH578" s="781"/>
      <c r="AI578" s="781"/>
      <c r="AJ578" s="781"/>
      <c r="AK578" s="781"/>
      <c r="AL578" s="781"/>
      <c r="AM578" s="781"/>
      <c r="AN578" s="781"/>
      <c r="AO578" s="781"/>
      <c r="AP578" s="781"/>
      <c r="AQ578" s="781"/>
    </row>
    <row r="579" spans="4:43" ht="29.25" customHeight="1" outlineLevel="1">
      <c r="D579" s="1">
        <v>47</v>
      </c>
      <c r="AC579" s="798"/>
      <c r="AD579" s="798"/>
      <c r="AE579" s="798"/>
      <c r="AF579" s="798"/>
      <c r="AG579" s="798"/>
      <c r="AH579" s="139" t="s">
        <v>1881</v>
      </c>
      <c r="AI579" s="139" t="s">
        <v>1882</v>
      </c>
      <c r="AJ579" s="139" t="s">
        <v>942</v>
      </c>
      <c r="AK579" s="139" t="s">
        <v>1883</v>
      </c>
      <c r="AL579" s="139" t="s">
        <v>1884</v>
      </c>
      <c r="AM579" s="139" t="s">
        <v>942</v>
      </c>
    </row>
    <row r="580" spans="4:43" ht="18.75" customHeight="1" outlineLevel="1">
      <c r="D580" s="1">
        <v>31</v>
      </c>
      <c r="AC580" s="47" t="s">
        <v>530</v>
      </c>
      <c r="AD580" s="796" t="s">
        <v>933</v>
      </c>
      <c r="AE580" s="796"/>
      <c r="AF580" s="796"/>
      <c r="AG580" s="66" t="s">
        <v>916</v>
      </c>
      <c r="AH580" s="78">
        <v>0</v>
      </c>
      <c r="AI580" s="78">
        <v>0</v>
      </c>
      <c r="AJ580" s="128">
        <v>0</v>
      </c>
      <c r="AK580" s="78">
        <v>0</v>
      </c>
      <c r="AL580" s="78">
        <v>0</v>
      </c>
      <c r="AM580" s="128">
        <v>0</v>
      </c>
    </row>
    <row r="581" spans="4:43" ht="18.75" customHeight="1" outlineLevel="1">
      <c r="D581" s="1">
        <v>31</v>
      </c>
      <c r="AC581" s="47" t="s">
        <v>927</v>
      </c>
      <c r="AD581" s="796" t="s">
        <v>1032</v>
      </c>
      <c r="AE581" s="796"/>
      <c r="AF581" s="796"/>
      <c r="AG581" s="66" t="s">
        <v>1033</v>
      </c>
      <c r="AH581" s="78">
        <v>0</v>
      </c>
      <c r="AI581" s="78">
        <v>0</v>
      </c>
      <c r="AJ581" s="128">
        <v>0</v>
      </c>
      <c r="AK581" s="78">
        <v>0</v>
      </c>
      <c r="AL581" s="78">
        <v>0</v>
      </c>
      <c r="AM581" s="128">
        <v>0</v>
      </c>
    </row>
    <row r="582" spans="4:43" ht="27" customHeight="1" outlineLevel="1">
      <c r="D582" s="1">
        <v>44</v>
      </c>
      <c r="AC582" s="47" t="s">
        <v>1021</v>
      </c>
      <c r="AD582" s="796" t="s">
        <v>1034</v>
      </c>
      <c r="AE582" s="796"/>
      <c r="AF582" s="796"/>
      <c r="AG582" s="66" t="s">
        <v>1035</v>
      </c>
      <c r="AH582" s="78">
        <v>0</v>
      </c>
      <c r="AI582" s="78">
        <v>0</v>
      </c>
      <c r="AJ582" s="128">
        <v>0</v>
      </c>
      <c r="AK582" s="78">
        <v>0</v>
      </c>
      <c r="AL582" s="78">
        <v>0</v>
      </c>
      <c r="AM582" s="128">
        <v>0</v>
      </c>
    </row>
    <row r="583" spans="4:43" ht="18.75" customHeight="1" outlineLevel="1">
      <c r="D583" s="1">
        <v>31</v>
      </c>
    </row>
    <row r="584" spans="4:43" ht="33.75" customHeight="1" outlineLevel="1">
      <c r="D584" s="1">
        <v>55</v>
      </c>
      <c r="AB584" s="832" t="s">
        <v>1885</v>
      </c>
      <c r="AC584" s="781"/>
      <c r="AD584" s="781"/>
      <c r="AE584" s="781"/>
      <c r="AF584" s="781"/>
      <c r="AG584" s="781"/>
      <c r="AH584" s="781"/>
      <c r="AI584" s="781"/>
      <c r="AJ584" s="781"/>
      <c r="AK584" s="781"/>
      <c r="AL584" s="781"/>
      <c r="AM584" s="781"/>
      <c r="AN584" s="781"/>
      <c r="AO584" s="781"/>
      <c r="AP584" s="781"/>
      <c r="AQ584" s="781"/>
    </row>
    <row r="585" spans="4:43" ht="18.75" customHeight="1">
      <c r="D585" s="1">
        <v>31</v>
      </c>
    </row>
    <row r="586" spans="4:43" ht="14.25" customHeight="1">
      <c r="D586" s="1">
        <v>23</v>
      </c>
      <c r="AB586" s="1078" t="s">
        <v>1886</v>
      </c>
      <c r="AC586" s="781"/>
      <c r="AD586" s="781"/>
      <c r="AE586" s="781"/>
      <c r="AF586" s="781"/>
      <c r="AG586" s="781"/>
      <c r="AH586" s="781"/>
      <c r="AI586" s="781"/>
      <c r="AJ586" s="781"/>
      <c r="AK586" s="781"/>
      <c r="AL586" s="781"/>
      <c r="AM586" s="781"/>
      <c r="AN586" s="781"/>
      <c r="AO586" s="781"/>
      <c r="AP586" s="781"/>
      <c r="AQ586" s="781"/>
    </row>
    <row r="587" spans="4:43" ht="11.25" customHeight="1">
      <c r="D587" s="1">
        <v>20</v>
      </c>
    </row>
    <row r="588" spans="4:43" ht="18" customHeight="1" outlineLevel="1">
      <c r="D588" s="1">
        <v>29</v>
      </c>
      <c r="AB588" s="832" t="s">
        <v>1887</v>
      </c>
      <c r="AC588" s="781"/>
      <c r="AD588" s="781"/>
      <c r="AE588" s="781"/>
      <c r="AG588" s="354"/>
      <c r="AH588" s="109" t="s">
        <v>1888</v>
      </c>
      <c r="AI588" s="354"/>
      <c r="AJ588" s="29" t="s">
        <v>1889</v>
      </c>
    </row>
    <row r="589" spans="4:43" ht="17.25" customHeight="1" outlineLevel="1">
      <c r="D589" s="1">
        <v>28</v>
      </c>
      <c r="AB589" s="832" t="s">
        <v>1890</v>
      </c>
      <c r="AC589" s="781"/>
      <c r="AD589" s="781"/>
      <c r="AE589" s="781"/>
      <c r="AF589" s="781"/>
      <c r="AG589" s="781"/>
      <c r="AH589" s="781"/>
      <c r="AI589" s="1046"/>
      <c r="AJ589" s="1046"/>
      <c r="AK589" s="1046"/>
      <c r="AL589" s="1046"/>
      <c r="AM589" s="1046"/>
      <c r="AN589" s="1046"/>
      <c r="AO589" s="1046"/>
      <c r="AP589" s="1046"/>
      <c r="AQ589" s="1046"/>
    </row>
    <row r="590" spans="4:43" ht="28.5" customHeight="1" outlineLevel="1">
      <c r="D590" s="1">
        <v>45</v>
      </c>
      <c r="AB590" s="1038"/>
      <c r="AC590" s="1038"/>
      <c r="AD590" s="1038"/>
      <c r="AE590" s="1038"/>
      <c r="AF590" s="1038"/>
      <c r="AG590" s="1038"/>
      <c r="AH590" s="1038"/>
      <c r="AI590" s="1038"/>
      <c r="AJ590" s="1038"/>
      <c r="AK590" s="1038"/>
      <c r="AL590" s="1038"/>
      <c r="AM590" s="1038"/>
      <c r="AN590" s="1038"/>
      <c r="AO590" s="1038"/>
      <c r="AP590" s="1038"/>
      <c r="AQ590" s="1038"/>
    </row>
    <row r="591" spans="4:43" ht="11.25" hidden="1" customHeight="1" outlineLevel="1">
      <c r="D591" s="1">
        <v>0</v>
      </c>
    </row>
    <row r="592" spans="4:43" ht="52.5" customHeight="1" outlineLevel="1">
      <c r="D592" s="1">
        <v>84</v>
      </c>
      <c r="AB592" s="832" t="s">
        <v>1891</v>
      </c>
      <c r="AC592" s="781"/>
      <c r="AD592" s="781"/>
      <c r="AE592" s="781"/>
      <c r="AF592" s="781"/>
      <c r="AG592" s="781"/>
      <c r="AH592" s="781"/>
      <c r="AI592" s="781"/>
      <c r="AJ592" s="781"/>
      <c r="AK592" s="781"/>
      <c r="AL592" s="781"/>
      <c r="AM592" s="781"/>
      <c r="AN592" s="781"/>
      <c r="AO592" s="781"/>
      <c r="AP592" s="781"/>
      <c r="AQ592" s="781"/>
    </row>
    <row r="593" spans="4:43" ht="27.75" customHeight="1" outlineLevel="1">
      <c r="D593" s="1">
        <v>45</v>
      </c>
      <c r="AB593" s="832" t="s">
        <v>1892</v>
      </c>
      <c r="AC593" s="781"/>
      <c r="AD593" s="781"/>
      <c r="AE593" s="781"/>
      <c r="AF593" s="781"/>
      <c r="AG593" s="781"/>
      <c r="AH593" s="781"/>
      <c r="AI593" s="781"/>
      <c r="AJ593" s="781"/>
      <c r="AK593" s="781"/>
      <c r="AL593" s="781"/>
      <c r="AM593" s="781"/>
      <c r="AN593" s="781"/>
      <c r="AO593" s="781"/>
      <c r="AP593" s="781"/>
      <c r="AQ593" s="781"/>
    </row>
    <row r="594" spans="4:43" ht="28.5" customHeight="1" outlineLevel="1">
      <c r="D594" s="1">
        <v>45</v>
      </c>
      <c r="AB594" s="832" t="s">
        <v>1893</v>
      </c>
      <c r="AC594" s="781"/>
      <c r="AD594" s="781"/>
      <c r="AE594" s="781"/>
      <c r="AF594" s="781"/>
      <c r="AG594" s="781"/>
      <c r="AH594" s="781"/>
      <c r="AI594" s="781"/>
      <c r="AJ594" s="781"/>
      <c r="AK594" s="781"/>
      <c r="AL594" s="781"/>
      <c r="AM594" s="781"/>
      <c r="AN594" s="781"/>
      <c r="AO594" s="781"/>
      <c r="AP594" s="781"/>
      <c r="AQ594" s="781"/>
    </row>
    <row r="595" spans="4:43" ht="43.5" customHeight="1" outlineLevel="1">
      <c r="D595" s="1">
        <v>71</v>
      </c>
      <c r="AB595" s="832" t="s">
        <v>1894</v>
      </c>
      <c r="AC595" s="781"/>
      <c r="AD595" s="781"/>
      <c r="AE595" s="781"/>
      <c r="AF595" s="781"/>
      <c r="AG595" s="781"/>
      <c r="AH595" s="781"/>
      <c r="AI595" s="781"/>
      <c r="AJ595" s="781"/>
      <c r="AK595" s="781"/>
      <c r="AL595" s="781"/>
      <c r="AM595" s="781"/>
      <c r="AN595" s="781"/>
      <c r="AO595" s="781"/>
      <c r="AP595" s="781"/>
      <c r="AQ595" s="781"/>
    </row>
    <row r="596" spans="4:43" ht="41.25" customHeight="1" outlineLevel="1">
      <c r="D596" s="1">
        <v>66</v>
      </c>
      <c r="AB596" s="832" t="s">
        <v>1895</v>
      </c>
      <c r="AC596" s="781"/>
      <c r="AD596" s="781"/>
      <c r="AE596" s="781"/>
      <c r="AF596" s="781"/>
      <c r="AG596" s="781"/>
      <c r="AH596" s="781"/>
      <c r="AI596" s="781"/>
      <c r="AJ596" s="781"/>
      <c r="AK596" s="781"/>
      <c r="AL596" s="781"/>
      <c r="AM596" s="781"/>
      <c r="AN596" s="781"/>
      <c r="AO596" s="781"/>
      <c r="AP596" s="781"/>
      <c r="AQ596" s="781"/>
    </row>
    <row r="597" spans="4:43" ht="42" customHeight="1" outlineLevel="1">
      <c r="D597" s="1">
        <v>68</v>
      </c>
      <c r="AB597" s="832" t="s">
        <v>1896</v>
      </c>
      <c r="AC597" s="781"/>
      <c r="AD597" s="781"/>
      <c r="AE597" s="781"/>
      <c r="AF597" s="781"/>
      <c r="AG597" s="781"/>
      <c r="AH597" s="781"/>
      <c r="AI597" s="781"/>
      <c r="AJ597" s="781"/>
      <c r="AK597" s="781"/>
      <c r="AL597" s="781"/>
      <c r="AM597" s="781"/>
      <c r="AN597" s="781"/>
      <c r="AO597" s="781"/>
      <c r="AP597" s="781"/>
      <c r="AQ597" s="781"/>
    </row>
    <row r="598" spans="4:43" ht="42" customHeight="1" outlineLevel="1">
      <c r="D598" s="1">
        <v>68</v>
      </c>
      <c r="AB598" s="832" t="s">
        <v>1897</v>
      </c>
      <c r="AC598" s="781"/>
      <c r="AD598" s="781"/>
      <c r="AE598" s="781"/>
      <c r="AF598" s="781"/>
      <c r="AG598" s="781"/>
      <c r="AH598" s="781"/>
      <c r="AI598" s="781"/>
      <c r="AJ598" s="781"/>
      <c r="AK598" s="781"/>
      <c r="AL598" s="781"/>
      <c r="AM598" s="781"/>
      <c r="AN598" s="781"/>
      <c r="AO598" s="781"/>
      <c r="AP598" s="781"/>
      <c r="AQ598" s="781"/>
    </row>
    <row r="599" spans="4:43" ht="28.5" customHeight="1" outlineLevel="1">
      <c r="D599" s="1">
        <v>45</v>
      </c>
      <c r="AB599" s="832" t="s">
        <v>1898</v>
      </c>
      <c r="AC599" s="781"/>
      <c r="AD599" s="781"/>
      <c r="AE599" s="781"/>
      <c r="AF599" s="781"/>
      <c r="AG599" s="781"/>
      <c r="AH599" s="781"/>
      <c r="AI599" s="781"/>
      <c r="AJ599" s="781"/>
      <c r="AK599" s="781"/>
      <c r="AL599" s="781"/>
      <c r="AM599" s="781"/>
      <c r="AN599" s="781"/>
      <c r="AO599" s="781"/>
      <c r="AP599" s="781"/>
      <c r="AQ599" s="781"/>
    </row>
    <row r="600" spans="4:43" ht="65.25" customHeight="1" outlineLevel="1">
      <c r="D600" s="1">
        <v>104</v>
      </c>
      <c r="AB600" s="832" t="s">
        <v>1899</v>
      </c>
      <c r="AC600" s="781"/>
      <c r="AD600" s="781"/>
      <c r="AE600" s="781"/>
      <c r="AF600" s="781"/>
      <c r="AG600" s="781"/>
      <c r="AH600" s="781"/>
      <c r="AI600" s="781"/>
      <c r="AJ600" s="781"/>
      <c r="AK600" s="781"/>
      <c r="AL600" s="781"/>
      <c r="AM600" s="781"/>
      <c r="AN600" s="781"/>
      <c r="AO600" s="781"/>
      <c r="AP600" s="781"/>
      <c r="AQ600" s="781"/>
    </row>
    <row r="601" spans="4:43" ht="28.5" customHeight="1" outlineLevel="1">
      <c r="D601" s="1">
        <v>45</v>
      </c>
      <c r="AC601" s="798"/>
      <c r="AD601" s="798"/>
      <c r="AE601" s="798"/>
      <c r="AF601" s="798"/>
      <c r="AG601" s="798"/>
      <c r="AH601" s="798"/>
      <c r="AI601" s="798"/>
      <c r="AJ601" s="66" t="s">
        <v>1900</v>
      </c>
      <c r="AK601" s="66" t="s">
        <v>1901</v>
      </c>
      <c r="AL601" s="66" t="s">
        <v>1881</v>
      </c>
      <c r="AM601" s="66" t="s">
        <v>1882</v>
      </c>
    </row>
    <row r="602" spans="4:43" ht="14.25" customHeight="1" outlineLevel="1">
      <c r="D602" s="1">
        <v>23</v>
      </c>
      <c r="AC602" s="355" t="s">
        <v>618</v>
      </c>
      <c r="AD602" s="796" t="s">
        <v>758</v>
      </c>
      <c r="AE602" s="796"/>
      <c r="AF602" s="796"/>
      <c r="AG602" s="796"/>
      <c r="AH602" s="796"/>
      <c r="AI602" s="156" t="s">
        <v>619</v>
      </c>
      <c r="AJ602" s="78">
        <v>0</v>
      </c>
      <c r="AK602" s="78">
        <v>0</v>
      </c>
      <c r="AL602" s="78">
        <v>0</v>
      </c>
      <c r="AM602" s="78">
        <v>0</v>
      </c>
    </row>
    <row r="603" spans="4:43" ht="14.25" customHeight="1" outlineLevel="1">
      <c r="D603" s="1">
        <v>23</v>
      </c>
      <c r="AC603" s="355" t="s">
        <v>622</v>
      </c>
      <c r="AD603" s="796" t="s">
        <v>560</v>
      </c>
      <c r="AE603" s="796"/>
      <c r="AF603" s="796"/>
      <c r="AG603" s="796"/>
      <c r="AH603" s="796"/>
      <c r="AI603" s="156" t="s">
        <v>619</v>
      </c>
      <c r="AJ603" s="78">
        <v>0</v>
      </c>
      <c r="AK603" s="78">
        <v>0</v>
      </c>
      <c r="AL603" s="78">
        <v>0</v>
      </c>
      <c r="AM603" s="78">
        <v>0</v>
      </c>
    </row>
    <row r="604" spans="4:43" ht="11.25" customHeight="1" outlineLevel="1">
      <c r="D604" s="1">
        <v>18</v>
      </c>
      <c r="AC604" s="355" t="s">
        <v>625</v>
      </c>
      <c r="AD604" s="796" t="s">
        <v>962</v>
      </c>
      <c r="AE604" s="796"/>
      <c r="AF604" s="796"/>
      <c r="AG604" s="796"/>
      <c r="AH604" s="796"/>
      <c r="AI604" s="156" t="s">
        <v>619</v>
      </c>
      <c r="AJ604" s="78">
        <v>0</v>
      </c>
      <c r="AK604" s="78">
        <v>0</v>
      </c>
      <c r="AL604" s="78">
        <v>0</v>
      </c>
      <c r="AM604" s="78">
        <v>0</v>
      </c>
    </row>
    <row r="605" spans="4:43" ht="11.25" customHeight="1" outlineLevel="1">
      <c r="D605" s="1">
        <v>18</v>
      </c>
      <c r="AC605" s="355" t="s">
        <v>1221</v>
      </c>
      <c r="AD605" s="796" t="s">
        <v>963</v>
      </c>
      <c r="AE605" s="796"/>
      <c r="AF605" s="796"/>
      <c r="AG605" s="796"/>
      <c r="AH605" s="796"/>
      <c r="AI605" s="156" t="s">
        <v>619</v>
      </c>
      <c r="AJ605" s="78">
        <v>0</v>
      </c>
      <c r="AK605" s="78">
        <v>0</v>
      </c>
      <c r="AL605" s="78">
        <v>0</v>
      </c>
      <c r="AM605" s="78">
        <v>0</v>
      </c>
    </row>
    <row r="606" spans="4:43" ht="11.25" customHeight="1" outlineLevel="1">
      <c r="D606" s="1">
        <v>18</v>
      </c>
      <c r="AC606" s="355" t="s">
        <v>1222</v>
      </c>
      <c r="AD606" s="796" t="s">
        <v>964</v>
      </c>
      <c r="AE606" s="796"/>
      <c r="AF606" s="796"/>
      <c r="AG606" s="796"/>
      <c r="AH606" s="796"/>
      <c r="AI606" s="156" t="s">
        <v>619</v>
      </c>
      <c r="AJ606" s="78">
        <v>0</v>
      </c>
      <c r="AK606" s="78">
        <v>0</v>
      </c>
      <c r="AL606" s="78">
        <v>0</v>
      </c>
      <c r="AM606" s="78">
        <v>0</v>
      </c>
    </row>
    <row r="607" spans="4:43" ht="11.25" customHeight="1" outlineLevel="1">
      <c r="D607" s="1">
        <v>18</v>
      </c>
      <c r="AC607" s="47" t="s">
        <v>1230</v>
      </c>
      <c r="AD607" s="796" t="s">
        <v>970</v>
      </c>
      <c r="AE607" s="796"/>
      <c r="AF607" s="796"/>
      <c r="AG607" s="796"/>
      <c r="AH607" s="796"/>
      <c r="AI607" s="156" t="s">
        <v>619</v>
      </c>
      <c r="AJ607" s="78">
        <v>0</v>
      </c>
      <c r="AK607" s="78">
        <v>0</v>
      </c>
      <c r="AL607" s="78">
        <v>0</v>
      </c>
      <c r="AM607" s="78">
        <v>0</v>
      </c>
    </row>
    <row r="608" spans="4:43" ht="11.25" customHeight="1" outlineLevel="1">
      <c r="D608" s="1">
        <v>18</v>
      </c>
      <c r="AC608" s="47" t="s">
        <v>1231</v>
      </c>
      <c r="AD608" s="796" t="s">
        <v>971</v>
      </c>
      <c r="AE608" s="796"/>
      <c r="AF608" s="796"/>
      <c r="AG608" s="796"/>
      <c r="AH608" s="796"/>
      <c r="AI608" s="156" t="s">
        <v>619</v>
      </c>
      <c r="AJ608" s="78">
        <v>0</v>
      </c>
      <c r="AK608" s="78">
        <v>0</v>
      </c>
      <c r="AL608" s="78">
        <v>0</v>
      </c>
      <c r="AM608" s="78">
        <v>0</v>
      </c>
    </row>
    <row r="609" spans="4:43" ht="11.25" customHeight="1" outlineLevel="1">
      <c r="D609" s="1">
        <v>18</v>
      </c>
      <c r="AC609" s="47" t="s">
        <v>1232</v>
      </c>
      <c r="AD609" s="796" t="s">
        <v>972</v>
      </c>
      <c r="AE609" s="796"/>
      <c r="AF609" s="796"/>
      <c r="AG609" s="796"/>
      <c r="AH609" s="796"/>
      <c r="AI609" s="156" t="s">
        <v>619</v>
      </c>
      <c r="AJ609" s="78">
        <v>0</v>
      </c>
      <c r="AK609" s="78">
        <v>0</v>
      </c>
      <c r="AL609" s="78">
        <v>0</v>
      </c>
      <c r="AM609" s="78">
        <v>0</v>
      </c>
    </row>
    <row r="610" spans="4:43" ht="11.25" customHeight="1" outlineLevel="1">
      <c r="D610" s="1">
        <v>18</v>
      </c>
      <c r="AC610" s="47" t="s">
        <v>1233</v>
      </c>
      <c r="AD610" s="796" t="s">
        <v>973</v>
      </c>
      <c r="AE610" s="796"/>
      <c r="AF610" s="796"/>
      <c r="AG610" s="796"/>
      <c r="AH610" s="796"/>
      <c r="AI610" s="156" t="s">
        <v>619</v>
      </c>
      <c r="AJ610" s="78">
        <v>0</v>
      </c>
      <c r="AK610" s="78">
        <v>0</v>
      </c>
      <c r="AL610" s="78">
        <v>0</v>
      </c>
      <c r="AM610" s="78">
        <v>0</v>
      </c>
    </row>
    <row r="611" spans="4:43" ht="11.25" customHeight="1" outlineLevel="1">
      <c r="D611" s="1">
        <v>18</v>
      </c>
      <c r="AC611" s="47" t="s">
        <v>1902</v>
      </c>
      <c r="AD611" s="796" t="s">
        <v>974</v>
      </c>
      <c r="AE611" s="796"/>
      <c r="AF611" s="796"/>
      <c r="AG611" s="796"/>
      <c r="AH611" s="796"/>
      <c r="AI611" s="156" t="s">
        <v>619</v>
      </c>
      <c r="AJ611" s="78">
        <v>0</v>
      </c>
      <c r="AK611" s="78">
        <v>0</v>
      </c>
      <c r="AL611" s="78">
        <v>0</v>
      </c>
      <c r="AM611" s="78">
        <v>0</v>
      </c>
    </row>
    <row r="612" spans="4:43" ht="11.25" customHeight="1" outlineLevel="1">
      <c r="D612" s="1">
        <v>18</v>
      </c>
      <c r="AC612" s="47" t="s">
        <v>1903</v>
      </c>
      <c r="AD612" s="796" t="s">
        <v>975</v>
      </c>
      <c r="AE612" s="796"/>
      <c r="AF612" s="796"/>
      <c r="AG612" s="796"/>
      <c r="AH612" s="796"/>
      <c r="AI612" s="156" t="s">
        <v>619</v>
      </c>
      <c r="AJ612" s="78">
        <v>0</v>
      </c>
      <c r="AK612" s="78">
        <v>0</v>
      </c>
      <c r="AL612" s="78">
        <v>0</v>
      </c>
      <c r="AM612" s="78">
        <v>0</v>
      </c>
    </row>
    <row r="613" spans="4:43" ht="11.25" customHeight="1" outlineLevel="1">
      <c r="D613" s="1">
        <v>18</v>
      </c>
      <c r="AC613" s="47" t="s">
        <v>1904</v>
      </c>
      <c r="AD613" s="796" t="s">
        <v>978</v>
      </c>
      <c r="AE613" s="796"/>
      <c r="AF613" s="796"/>
      <c r="AG613" s="796"/>
      <c r="AH613" s="796"/>
      <c r="AI613" s="156" t="s">
        <v>619</v>
      </c>
      <c r="AJ613" s="78">
        <v>0</v>
      </c>
      <c r="AK613" s="78">
        <v>0</v>
      </c>
      <c r="AL613" s="78">
        <v>0</v>
      </c>
      <c r="AM613" s="78">
        <v>0</v>
      </c>
    </row>
    <row r="614" spans="4:43" ht="11.25" customHeight="1" outlineLevel="1">
      <c r="D614" s="1">
        <v>18</v>
      </c>
      <c r="AC614" s="47" t="s">
        <v>905</v>
      </c>
      <c r="AD614" s="796" t="s">
        <v>984</v>
      </c>
      <c r="AE614" s="796"/>
      <c r="AF614" s="796"/>
      <c r="AG614" s="796"/>
      <c r="AH614" s="796"/>
      <c r="AI614" s="156" t="s">
        <v>619</v>
      </c>
      <c r="AJ614" s="78">
        <v>0</v>
      </c>
      <c r="AK614" s="78">
        <v>0</v>
      </c>
      <c r="AL614" s="78">
        <v>0</v>
      </c>
      <c r="AM614" s="78">
        <v>0</v>
      </c>
    </row>
    <row r="615" spans="4:43" ht="11.25" customHeight="1" outlineLevel="1">
      <c r="D615" s="1">
        <v>18</v>
      </c>
    </row>
    <row r="616" spans="4:43" ht="28.5" customHeight="1" outlineLevel="1">
      <c r="D616" s="1">
        <v>45</v>
      </c>
      <c r="AB616" s="832" t="s">
        <v>1905</v>
      </c>
      <c r="AC616" s="781"/>
      <c r="AD616" s="781"/>
      <c r="AE616" s="781"/>
      <c r="AF616" s="781"/>
      <c r="AG616" s="781"/>
      <c r="AH616" s="781"/>
      <c r="AI616" s="781"/>
      <c r="AJ616" s="781"/>
      <c r="AK616" s="781"/>
      <c r="AL616" s="781"/>
      <c r="AM616" s="781"/>
      <c r="AN616" s="781"/>
      <c r="AO616" s="781"/>
      <c r="AP616" s="781"/>
      <c r="AQ616" s="781"/>
    </row>
    <row r="617" spans="4:43" ht="28.5" customHeight="1" outlineLevel="1">
      <c r="D617" s="1">
        <v>45</v>
      </c>
      <c r="AB617" s="1038"/>
      <c r="AC617" s="1038"/>
      <c r="AD617" s="1038"/>
      <c r="AE617" s="1038"/>
      <c r="AF617" s="1038"/>
      <c r="AG617" s="1038"/>
      <c r="AH617" s="1038"/>
      <c r="AI617" s="1038"/>
      <c r="AJ617" s="1038"/>
      <c r="AK617" s="1038"/>
      <c r="AL617" s="1038"/>
      <c r="AM617" s="1038"/>
      <c r="AN617" s="1038"/>
      <c r="AO617" s="1038"/>
      <c r="AP617" s="1038"/>
      <c r="AQ617" s="1038"/>
    </row>
    <row r="618" spans="4:43" ht="28.5" customHeight="1" outlineLevel="1">
      <c r="D618" s="1">
        <v>45</v>
      </c>
      <c r="AB618" s="1038"/>
      <c r="AC618" s="1038"/>
      <c r="AD618" s="1038"/>
      <c r="AE618" s="1038"/>
      <c r="AF618" s="1038"/>
      <c r="AG618" s="1038"/>
      <c r="AH618" s="1038"/>
      <c r="AI618" s="1038"/>
      <c r="AJ618" s="1038"/>
      <c r="AK618" s="1038"/>
      <c r="AL618" s="1038"/>
      <c r="AM618" s="1038"/>
      <c r="AN618" s="1038"/>
      <c r="AO618" s="1038"/>
      <c r="AP618" s="1038"/>
      <c r="AQ618" s="1038"/>
    </row>
    <row r="619" spans="4:43" ht="28.5" customHeight="1" outlineLevel="1">
      <c r="D619" s="1">
        <v>45</v>
      </c>
      <c r="AB619" s="1038"/>
      <c r="AC619" s="1038"/>
      <c r="AD619" s="1038"/>
      <c r="AE619" s="1038"/>
      <c r="AF619" s="1038"/>
      <c r="AG619" s="1038"/>
      <c r="AH619" s="1038"/>
      <c r="AI619" s="1038"/>
      <c r="AJ619" s="1038"/>
      <c r="AK619" s="1038"/>
      <c r="AL619" s="1038"/>
      <c r="AM619" s="1038"/>
      <c r="AN619" s="1038"/>
      <c r="AO619" s="1038"/>
      <c r="AP619" s="1038"/>
      <c r="AQ619" s="1038"/>
    </row>
    <row r="620" spans="4:43" ht="28.5" customHeight="1" outlineLevel="1">
      <c r="D620" s="1">
        <v>45</v>
      </c>
      <c r="AB620" s="1038"/>
      <c r="AC620" s="1038"/>
      <c r="AD620" s="1038"/>
      <c r="AE620" s="1038"/>
      <c r="AF620" s="1038"/>
      <c r="AG620" s="1038"/>
      <c r="AH620" s="1038"/>
      <c r="AI620" s="1038"/>
      <c r="AJ620" s="1038"/>
      <c r="AK620" s="1038"/>
      <c r="AL620" s="1038"/>
      <c r="AM620" s="1038"/>
      <c r="AN620" s="1038"/>
      <c r="AO620" s="1038"/>
      <c r="AP620" s="1038"/>
      <c r="AQ620" s="1038"/>
    </row>
    <row r="621" spans="4:43" ht="28.5" customHeight="1" outlineLevel="1">
      <c r="D621" s="1">
        <v>45</v>
      </c>
      <c r="AB621" s="1038"/>
      <c r="AC621" s="1038"/>
      <c r="AD621" s="1038"/>
      <c r="AE621" s="1038"/>
      <c r="AF621" s="1038"/>
      <c r="AG621" s="1038"/>
      <c r="AH621" s="1038"/>
      <c r="AI621" s="1038"/>
      <c r="AJ621" s="1038"/>
      <c r="AK621" s="1038"/>
      <c r="AL621" s="1038"/>
      <c r="AM621" s="1038"/>
      <c r="AN621" s="1038"/>
      <c r="AO621" s="1038"/>
      <c r="AP621" s="1038"/>
      <c r="AQ621" s="1038"/>
    </row>
    <row r="622" spans="4:43" ht="11.25" hidden="1" customHeight="1">
      <c r="D622" s="1">
        <v>0</v>
      </c>
    </row>
    <row r="623" spans="4:43" ht="28.5" customHeight="1">
      <c r="D623" s="1">
        <v>45</v>
      </c>
      <c r="AB623" s="1122" t="s">
        <v>1611</v>
      </c>
      <c r="AC623" s="781"/>
      <c r="AD623" s="781"/>
      <c r="AE623" s="781"/>
      <c r="AF623" s="781"/>
      <c r="AG623" s="781"/>
      <c r="AH623" s="781"/>
      <c r="AI623" s="781"/>
      <c r="AJ623" s="781"/>
      <c r="AK623" s="781"/>
      <c r="AL623" s="781"/>
      <c r="AM623" s="781"/>
      <c r="AN623" s="781"/>
      <c r="AO623" s="781"/>
      <c r="AP623" s="781"/>
      <c r="AQ623" s="781"/>
    </row>
    <row r="624" spans="4:43" ht="38.25" customHeight="1">
      <c r="D624" s="1">
        <v>61</v>
      </c>
      <c r="AB624" s="1120" t="s">
        <v>1906</v>
      </c>
      <c r="AC624" s="781"/>
      <c r="AD624" s="781"/>
      <c r="AE624" s="781"/>
      <c r="AF624" s="781"/>
      <c r="AG624" s="781"/>
      <c r="AH624" s="781"/>
      <c r="AI624" s="781"/>
      <c r="AJ624" s="781"/>
      <c r="AK624" s="781"/>
      <c r="AL624" s="781"/>
      <c r="AM624" s="781"/>
      <c r="AN624" s="781"/>
      <c r="AO624" s="781"/>
      <c r="AP624" s="781"/>
      <c r="AQ624" s="781"/>
    </row>
    <row r="625" spans="4:43" ht="38.25" customHeight="1">
      <c r="D625" s="1">
        <v>61</v>
      </c>
      <c r="AB625" s="1120" t="s">
        <v>1612</v>
      </c>
      <c r="AC625" s="781"/>
      <c r="AD625" s="781"/>
      <c r="AE625" s="781"/>
      <c r="AF625" s="781"/>
      <c r="AG625" s="781"/>
      <c r="AH625" s="781"/>
      <c r="AI625" s="781"/>
      <c r="AJ625" s="781"/>
      <c r="AK625" s="781"/>
      <c r="AL625" s="781"/>
      <c r="AM625" s="781"/>
      <c r="AN625" s="781"/>
      <c r="AO625" s="781"/>
      <c r="AP625" s="781"/>
      <c r="AQ625" s="781"/>
    </row>
    <row r="626" spans="4:43" ht="38.25" customHeight="1">
      <c r="D626" s="1">
        <v>61</v>
      </c>
      <c r="AB626" s="1120" t="s">
        <v>1907</v>
      </c>
      <c r="AC626" s="781"/>
      <c r="AD626" s="781"/>
      <c r="AE626" s="781"/>
      <c r="AF626" s="781"/>
      <c r="AG626" s="781"/>
      <c r="AH626" s="781"/>
      <c r="AI626" s="781"/>
      <c r="AJ626" s="781"/>
      <c r="AK626" s="781"/>
      <c r="AL626" s="781"/>
      <c r="AM626" s="781"/>
      <c r="AN626" s="781"/>
      <c r="AO626" s="781"/>
      <c r="AP626" s="781"/>
      <c r="AQ626" s="781"/>
    </row>
    <row r="627" spans="4:43" ht="23.25" customHeight="1">
      <c r="D627" s="1">
        <v>37</v>
      </c>
      <c r="AC627" s="798"/>
      <c r="AD627" s="798"/>
      <c r="AE627" s="798"/>
      <c r="AF627" s="798"/>
      <c r="AG627" s="798"/>
      <c r="AH627" s="798"/>
      <c r="AI627" s="66" t="s">
        <v>1884</v>
      </c>
    </row>
    <row r="628" spans="4:43" ht="11.25" customHeight="1">
      <c r="D628" s="1">
        <v>18</v>
      </c>
      <c r="AC628" s="1121" t="s">
        <v>1908</v>
      </c>
      <c r="AD628" s="1121"/>
      <c r="AE628" s="1121"/>
      <c r="AF628" s="1121"/>
      <c r="AG628" s="1121"/>
      <c r="AH628" s="156" t="s">
        <v>619</v>
      </c>
      <c r="AI628" s="78">
        <v>0</v>
      </c>
    </row>
    <row r="629" spans="4:43" ht="23.25" customHeight="1">
      <c r="D629" s="1">
        <v>37</v>
      </c>
      <c r="AC629" s="796" t="s">
        <v>953</v>
      </c>
      <c r="AD629" s="796"/>
      <c r="AE629" s="796"/>
      <c r="AF629" s="796"/>
      <c r="AG629" s="796"/>
      <c r="AH629" s="156" t="s">
        <v>619</v>
      </c>
      <c r="AI629" s="78">
        <v>0</v>
      </c>
    </row>
    <row r="630" spans="4:43" ht="11.25" customHeight="1">
      <c r="D630" s="1">
        <v>18</v>
      </c>
      <c r="AC630" s="796" t="s">
        <v>987</v>
      </c>
      <c r="AD630" s="796"/>
      <c r="AE630" s="796"/>
      <c r="AF630" s="796"/>
      <c r="AG630" s="796"/>
      <c r="AH630" s="156" t="s">
        <v>619</v>
      </c>
      <c r="AI630" s="78">
        <v>0</v>
      </c>
    </row>
    <row r="631" spans="4:43" ht="24" customHeight="1">
      <c r="D631" s="1">
        <v>39</v>
      </c>
      <c r="AC631" s="796" t="s">
        <v>1909</v>
      </c>
      <c r="AD631" s="796"/>
      <c r="AE631" s="796"/>
      <c r="AF631" s="796"/>
      <c r="AG631" s="796"/>
      <c r="AH631" s="156" t="s">
        <v>619</v>
      </c>
      <c r="AI631" s="78">
        <v>0</v>
      </c>
    </row>
    <row r="632" spans="4:43" ht="15" customHeight="1">
      <c r="D632" s="1">
        <v>24</v>
      </c>
      <c r="AC632" s="796" t="s">
        <v>1614</v>
      </c>
      <c r="AD632" s="796"/>
      <c r="AE632" s="796"/>
      <c r="AF632" s="796"/>
      <c r="AG632" s="796"/>
      <c r="AH632" s="156" t="s">
        <v>619</v>
      </c>
      <c r="AI632" s="78">
        <v>0</v>
      </c>
    </row>
    <row r="633" spans="4:43" ht="21.75" customHeight="1">
      <c r="D633" s="1">
        <v>36</v>
      </c>
      <c r="AC633" s="1121" t="s">
        <v>1615</v>
      </c>
      <c r="AD633" s="1121"/>
      <c r="AE633" s="1121"/>
      <c r="AF633" s="1121"/>
      <c r="AG633" s="1121"/>
      <c r="AH633" s="156" t="s">
        <v>619</v>
      </c>
      <c r="AI633" s="78">
        <v>0</v>
      </c>
    </row>
    <row r="634" spans="4:43" ht="11.25" customHeight="1">
      <c r="D634" s="1">
        <v>20</v>
      </c>
    </row>
    <row r="635" spans="4:43" ht="38.25" customHeight="1">
      <c r="D635" s="1">
        <v>61</v>
      </c>
      <c r="AB635" s="1120" t="s">
        <v>1910</v>
      </c>
      <c r="AC635" s="781"/>
      <c r="AD635" s="781"/>
      <c r="AE635" s="781"/>
      <c r="AF635" s="781"/>
      <c r="AG635" s="781"/>
      <c r="AH635" s="781"/>
      <c r="AI635" s="781"/>
      <c r="AJ635" s="781"/>
      <c r="AK635" s="781"/>
      <c r="AL635" s="781"/>
      <c r="AM635" s="781"/>
      <c r="AN635" s="781"/>
      <c r="AO635" s="781"/>
      <c r="AP635" s="781"/>
      <c r="AQ635" s="781"/>
    </row>
    <row r="636" spans="4:43" ht="23.25" customHeight="1">
      <c r="D636" s="1">
        <v>37</v>
      </c>
      <c r="AC636" s="798"/>
      <c r="AD636" s="798"/>
      <c r="AE636" s="798"/>
      <c r="AF636" s="798"/>
      <c r="AG636" s="798"/>
      <c r="AH636" s="798"/>
      <c r="AI636" s="66" t="s">
        <v>1884</v>
      </c>
      <c r="AJ636" s="66" t="s">
        <v>1911</v>
      </c>
      <c r="AK636" s="66" t="s">
        <v>1912</v>
      </c>
      <c r="AL636" s="66" t="s">
        <v>1913</v>
      </c>
      <c r="AM636" s="66" t="s">
        <v>1914</v>
      </c>
    </row>
    <row r="637" spans="4:43" ht="11.25" customHeight="1">
      <c r="D637" s="1">
        <v>18</v>
      </c>
      <c r="AC637" s="1121" t="s">
        <v>1908</v>
      </c>
      <c r="AD637" s="1121"/>
      <c r="AE637" s="1121"/>
      <c r="AF637" s="1121"/>
      <c r="AG637" s="1121"/>
      <c r="AH637" s="156" t="s">
        <v>619</v>
      </c>
      <c r="AI637" s="78">
        <v>0</v>
      </c>
      <c r="AJ637" s="78">
        <v>0</v>
      </c>
      <c r="AK637" s="78">
        <v>0</v>
      </c>
      <c r="AL637" s="78">
        <v>0</v>
      </c>
      <c r="AM637" s="78">
        <v>0</v>
      </c>
    </row>
    <row r="638" spans="4:43" ht="11.25" customHeight="1">
      <c r="D638" s="1">
        <v>20</v>
      </c>
    </row>
    <row r="639" spans="4:43" ht="28.5" customHeight="1">
      <c r="D639" s="1">
        <v>45</v>
      </c>
      <c r="AB639" s="1123"/>
      <c r="AC639" s="1123"/>
      <c r="AD639" s="1123"/>
      <c r="AE639" s="1123"/>
      <c r="AF639" s="1123"/>
      <c r="AG639" s="1123"/>
      <c r="AH639" s="1123"/>
      <c r="AJ639" s="1123"/>
      <c r="AK639" s="1123"/>
      <c r="AL639" s="1123"/>
      <c r="AM639" s="1123"/>
      <c r="AN639" s="1123"/>
      <c r="AO639" s="1123"/>
      <c r="AP639" s="1123"/>
      <c r="AQ639" s="1123"/>
    </row>
    <row r="640" spans="4:43" ht="11.25" hidden="1" customHeight="1">
      <c r="D640" s="1">
        <v>0</v>
      </c>
    </row>
    <row r="641" spans="4:47" ht="11.25" hidden="1" customHeight="1">
      <c r="D641" s="1">
        <v>0</v>
      </c>
    </row>
    <row r="642" spans="4:47" ht="11.25" customHeight="1">
      <c r="D642" s="1">
        <v>18</v>
      </c>
      <c r="AB642" s="29" t="s">
        <v>1622</v>
      </c>
    </row>
    <row r="643" spans="4:47" ht="28.5" customHeight="1">
      <c r="D643" s="1">
        <v>45</v>
      </c>
      <c r="AB643" s="1038"/>
      <c r="AC643" s="1038"/>
      <c r="AD643" s="1038"/>
      <c r="AE643" s="1038"/>
      <c r="AF643" s="1038"/>
      <c r="AG643" s="1038"/>
      <c r="AH643" s="1038"/>
      <c r="AJ643" s="1038"/>
      <c r="AK643" s="1038"/>
      <c r="AL643" s="1038"/>
      <c r="AM643" s="1038"/>
      <c r="AN643" s="1038"/>
      <c r="AO643" s="1038"/>
      <c r="AP643" s="1038"/>
      <c r="AQ643" s="1038"/>
    </row>
    <row r="644" spans="4:47" ht="11.25" hidden="1" customHeight="1">
      <c r="D644" s="1">
        <v>0</v>
      </c>
    </row>
    <row r="645" spans="4:47" ht="28.5" customHeight="1">
      <c r="D645" s="1">
        <v>45</v>
      </c>
      <c r="AB645" s="1038"/>
      <c r="AC645" s="1038"/>
      <c r="AD645" s="1038"/>
      <c r="AE645" s="1038"/>
      <c r="AF645" s="1038"/>
      <c r="AG645" s="1038"/>
      <c r="AH645" s="1038"/>
      <c r="AJ645" s="1038"/>
      <c r="AK645" s="1038"/>
      <c r="AL645" s="1038"/>
      <c r="AM645" s="1038"/>
      <c r="AN645" s="1038"/>
      <c r="AO645" s="1038"/>
      <c r="AP645" s="1038"/>
      <c r="AQ645" s="1038"/>
    </row>
    <row r="646" spans="4:47" ht="11.25" hidden="1" customHeight="1">
      <c r="D646" s="1">
        <v>0</v>
      </c>
    </row>
    <row r="647" spans="4:47" ht="28.5" customHeight="1">
      <c r="D647" s="1">
        <v>45</v>
      </c>
      <c r="AB647" s="1038"/>
      <c r="AC647" s="1038"/>
      <c r="AD647" s="1038"/>
      <c r="AE647" s="1038"/>
      <c r="AF647" s="1038"/>
      <c r="AG647" s="1038"/>
      <c r="AH647" s="1038"/>
      <c r="AJ647" s="1038"/>
      <c r="AK647" s="1038"/>
      <c r="AL647" s="1038"/>
      <c r="AM647" s="1038"/>
      <c r="AN647" s="1038"/>
      <c r="AO647" s="1038"/>
      <c r="AP647" s="1038"/>
      <c r="AQ647" s="1038"/>
    </row>
    <row r="648" spans="4:47" ht="11.25" hidden="1" customHeight="1">
      <c r="D648" s="1">
        <v>0</v>
      </c>
    </row>
    <row r="649" spans="4:47" ht="28.5" customHeight="1">
      <c r="D649" s="1">
        <v>45</v>
      </c>
      <c r="AB649" s="1038"/>
      <c r="AC649" s="1038"/>
      <c r="AD649" s="1038"/>
      <c r="AE649" s="1038"/>
      <c r="AF649" s="1038"/>
      <c r="AG649" s="1038"/>
      <c r="AH649" s="1038"/>
      <c r="AJ649" s="1038"/>
      <c r="AK649" s="1038"/>
      <c r="AL649" s="1038"/>
      <c r="AM649" s="1038"/>
      <c r="AN649" s="1038"/>
      <c r="AO649" s="1038"/>
      <c r="AP649" s="1038"/>
      <c r="AQ649" s="1038"/>
    </row>
    <row r="650" spans="4:47" ht="11.25" hidden="1" customHeight="1">
      <c r="D650">
        <v>0</v>
      </c>
      <c r="AU650" t="s">
        <v>42</v>
      </c>
    </row>
  </sheetData>
  <sheetProtection formatColumns="0" formatRows="0" insertRows="0" deleteColumns="0" deleteRows="0" sort="0" autoFilter="0"/>
  <mergeCells count="650">
    <mergeCell ref="AB649:AH649"/>
    <mergeCell ref="AJ649:AQ649"/>
    <mergeCell ref="AB643:AH643"/>
    <mergeCell ref="AJ643:AQ643"/>
    <mergeCell ref="AB645:AH645"/>
    <mergeCell ref="AJ645:AQ645"/>
    <mergeCell ref="AB647:AH647"/>
    <mergeCell ref="AJ647:AQ647"/>
    <mergeCell ref="AC633:AG633"/>
    <mergeCell ref="AB635:AQ635"/>
    <mergeCell ref="AC636:AH636"/>
    <mergeCell ref="AC637:AG637"/>
    <mergeCell ref="AB639:AH639"/>
    <mergeCell ref="AJ639:AQ639"/>
    <mergeCell ref="AC627:AH627"/>
    <mergeCell ref="AC628:AG628"/>
    <mergeCell ref="AC629:AG629"/>
    <mergeCell ref="AC630:AG630"/>
    <mergeCell ref="AC631:AG631"/>
    <mergeCell ref="AC632:AG632"/>
    <mergeCell ref="AB620:AQ620"/>
    <mergeCell ref="AB621:AQ621"/>
    <mergeCell ref="AB623:AQ623"/>
    <mergeCell ref="AB624:AQ624"/>
    <mergeCell ref="AB625:AQ625"/>
    <mergeCell ref="AB626:AQ626"/>
    <mergeCell ref="AD613:AH613"/>
    <mergeCell ref="AD614:AH614"/>
    <mergeCell ref="AB616:AQ616"/>
    <mergeCell ref="AB617:AQ617"/>
    <mergeCell ref="AB618:AQ618"/>
    <mergeCell ref="AB619:AQ619"/>
    <mergeCell ref="AD607:AH607"/>
    <mergeCell ref="AD608:AH608"/>
    <mergeCell ref="AD609:AH609"/>
    <mergeCell ref="AD610:AH610"/>
    <mergeCell ref="AD611:AH611"/>
    <mergeCell ref="AD612:AH612"/>
    <mergeCell ref="AC601:AI601"/>
    <mergeCell ref="AD602:AH602"/>
    <mergeCell ref="AD603:AH603"/>
    <mergeCell ref="AD604:AH604"/>
    <mergeCell ref="AD605:AH605"/>
    <mergeCell ref="AD606:AH606"/>
    <mergeCell ref="AB595:AQ595"/>
    <mergeCell ref="AB596:AQ596"/>
    <mergeCell ref="AB597:AQ597"/>
    <mergeCell ref="AB598:AQ598"/>
    <mergeCell ref="AB599:AQ599"/>
    <mergeCell ref="AB600:AQ600"/>
    <mergeCell ref="AB589:AH589"/>
    <mergeCell ref="AI589:AQ589"/>
    <mergeCell ref="AB590:AQ590"/>
    <mergeCell ref="AB592:AQ592"/>
    <mergeCell ref="AB593:AQ593"/>
    <mergeCell ref="AB594:AQ594"/>
    <mergeCell ref="AD580:AF580"/>
    <mergeCell ref="AD581:AF581"/>
    <mergeCell ref="AD582:AF582"/>
    <mergeCell ref="AB584:AQ584"/>
    <mergeCell ref="AB586:AQ586"/>
    <mergeCell ref="AB588:AE588"/>
    <mergeCell ref="AB576:AL576"/>
    <mergeCell ref="AM576:AN576"/>
    <mergeCell ref="AP576:AQ576"/>
    <mergeCell ref="AB577:AQ577"/>
    <mergeCell ref="AB578:AQ578"/>
    <mergeCell ref="AC579:AG579"/>
    <mergeCell ref="AD570:AH570"/>
    <mergeCell ref="AD571:AH571"/>
    <mergeCell ref="AA573:AA574"/>
    <mergeCell ref="AB573:AQ573"/>
    <mergeCell ref="AB574:AQ574"/>
    <mergeCell ref="AB575:AQ575"/>
    <mergeCell ref="AD564:AH564"/>
    <mergeCell ref="AD565:AH565"/>
    <mergeCell ref="AD566:AH566"/>
    <mergeCell ref="AD567:AH567"/>
    <mergeCell ref="AD568:AH568"/>
    <mergeCell ref="AD569:AH569"/>
    <mergeCell ref="AB538:AQ538"/>
    <mergeCell ref="AB539:AQ539"/>
    <mergeCell ref="AB540:AQ540"/>
    <mergeCell ref="AB562:AQ562"/>
    <mergeCell ref="AD563:AF563"/>
    <mergeCell ref="AG563:AJ563"/>
    <mergeCell ref="AB532:AQ532"/>
    <mergeCell ref="AB533:AQ533"/>
    <mergeCell ref="AB534:AQ534"/>
    <mergeCell ref="AB535:AQ535"/>
    <mergeCell ref="AB536:AQ536"/>
    <mergeCell ref="AB537:AQ537"/>
    <mergeCell ref="AD525:AF525"/>
    <mergeCell ref="AD526:AF526"/>
    <mergeCell ref="AD527:AF527"/>
    <mergeCell ref="AB529:AQ529"/>
    <mergeCell ref="AB530:AQ530"/>
    <mergeCell ref="AB531:AQ531"/>
    <mergeCell ref="AD517:AF517"/>
    <mergeCell ref="AD518:AF518"/>
    <mergeCell ref="AD519:AF519"/>
    <mergeCell ref="AB521:AQ521"/>
    <mergeCell ref="AD523:AF523"/>
    <mergeCell ref="AD524:AF524"/>
    <mergeCell ref="AB510:AQ510"/>
    <mergeCell ref="AB511:AQ511"/>
    <mergeCell ref="AB512:AQ512"/>
    <mergeCell ref="AD514:AF514"/>
    <mergeCell ref="AD515:AF515"/>
    <mergeCell ref="AD516:AF516"/>
    <mergeCell ref="AB485:AQ485"/>
    <mergeCell ref="AB486:AQ486"/>
    <mergeCell ref="AB487:AQ487"/>
    <mergeCell ref="AB488:AQ488"/>
    <mergeCell ref="AB508:AQ508"/>
    <mergeCell ref="AB509:AQ509"/>
    <mergeCell ref="AD479:AG479"/>
    <mergeCell ref="AK479:AL479"/>
    <mergeCell ref="AD480:AG480"/>
    <mergeCell ref="AI480:AL480"/>
    <mergeCell ref="AB483:AQ483"/>
    <mergeCell ref="AC484:AQ484"/>
    <mergeCell ref="AD476:AG476"/>
    <mergeCell ref="AK476:AL476"/>
    <mergeCell ref="AD477:AG477"/>
    <mergeCell ref="AK477:AL477"/>
    <mergeCell ref="AD478:AG478"/>
    <mergeCell ref="AK478:AL478"/>
    <mergeCell ref="AD473:AG473"/>
    <mergeCell ref="AK473:AL473"/>
    <mergeCell ref="AD474:AG474"/>
    <mergeCell ref="AK474:AL474"/>
    <mergeCell ref="AD475:AG475"/>
    <mergeCell ref="AK475:AL475"/>
    <mergeCell ref="AD470:AG470"/>
    <mergeCell ref="AK470:AL470"/>
    <mergeCell ref="AD471:AG471"/>
    <mergeCell ref="AK471:AL471"/>
    <mergeCell ref="AD472:AG472"/>
    <mergeCell ref="AK472:AL472"/>
    <mergeCell ref="AD467:AG467"/>
    <mergeCell ref="AK467:AL467"/>
    <mergeCell ref="AD468:AG468"/>
    <mergeCell ref="AK468:AL468"/>
    <mergeCell ref="AD469:AG469"/>
    <mergeCell ref="AK469:AL469"/>
    <mergeCell ref="AD464:AG464"/>
    <mergeCell ref="AK464:AL464"/>
    <mergeCell ref="AD465:AG465"/>
    <mergeCell ref="AK465:AL465"/>
    <mergeCell ref="AD466:AG466"/>
    <mergeCell ref="AK466:AL466"/>
    <mergeCell ref="AB459:AQ459"/>
    <mergeCell ref="AB460:AQ460"/>
    <mergeCell ref="AB461:AQ461"/>
    <mergeCell ref="AB462:AQ462"/>
    <mergeCell ref="AC463:AH463"/>
    <mergeCell ref="AK463:AL463"/>
    <mergeCell ref="AD452:AF452"/>
    <mergeCell ref="AD453:AF453"/>
    <mergeCell ref="AD454:AF454"/>
    <mergeCell ref="AB456:AQ456"/>
    <mergeCell ref="AC457:AQ457"/>
    <mergeCell ref="AB458:AQ458"/>
    <mergeCell ref="AD446:AF446"/>
    <mergeCell ref="AD447:AF447"/>
    <mergeCell ref="AD448:AF448"/>
    <mergeCell ref="AD449:AF449"/>
    <mergeCell ref="AD450:AF450"/>
    <mergeCell ref="AD451:AF451"/>
    <mergeCell ref="AB439:AQ439"/>
    <mergeCell ref="AB440:AQ440"/>
    <mergeCell ref="AC442:AQ442"/>
    <mergeCell ref="AB443:AQ443"/>
    <mergeCell ref="AB444:AQ444"/>
    <mergeCell ref="AB445:AQ445"/>
    <mergeCell ref="AB433:AQ433"/>
    <mergeCell ref="AB434:AQ434"/>
    <mergeCell ref="AB435:AQ435"/>
    <mergeCell ref="AB436:AQ436"/>
    <mergeCell ref="AB437:AQ437"/>
    <mergeCell ref="AB438:AQ438"/>
    <mergeCell ref="AB427:AQ427"/>
    <mergeCell ref="AB428:AQ428"/>
    <mergeCell ref="AB429:AQ429"/>
    <mergeCell ref="AB430:AQ430"/>
    <mergeCell ref="AB431:AQ431"/>
    <mergeCell ref="AB432:AQ432"/>
    <mergeCell ref="AB420:AQ420"/>
    <mergeCell ref="AB421:AQ421"/>
    <mergeCell ref="AB422:AQ422"/>
    <mergeCell ref="AB423:AQ423"/>
    <mergeCell ref="AB424:AQ424"/>
    <mergeCell ref="AB425:AQ425"/>
    <mergeCell ref="AC417:AE417"/>
    <mergeCell ref="AG417:AH417"/>
    <mergeCell ref="AI417:AJ417"/>
    <mergeCell ref="AC418:AE418"/>
    <mergeCell ref="AG418:AH418"/>
    <mergeCell ref="AI418:AJ418"/>
    <mergeCell ref="AC415:AE415"/>
    <mergeCell ref="AG415:AH415"/>
    <mergeCell ref="AI415:AJ415"/>
    <mergeCell ref="AC416:AE416"/>
    <mergeCell ref="AG416:AH416"/>
    <mergeCell ref="AI416:AJ416"/>
    <mergeCell ref="AC413:AE413"/>
    <mergeCell ref="AG413:AH413"/>
    <mergeCell ref="AI413:AJ413"/>
    <mergeCell ref="AC414:AE414"/>
    <mergeCell ref="AG414:AH414"/>
    <mergeCell ref="AI414:AJ414"/>
    <mergeCell ref="AC411:AE411"/>
    <mergeCell ref="AG411:AH411"/>
    <mergeCell ref="AI411:AJ411"/>
    <mergeCell ref="AC412:AE412"/>
    <mergeCell ref="AG412:AH412"/>
    <mergeCell ref="AI412:AJ412"/>
    <mergeCell ref="AC409:AE409"/>
    <mergeCell ref="AG409:AH409"/>
    <mergeCell ref="AI409:AJ409"/>
    <mergeCell ref="AC410:AE410"/>
    <mergeCell ref="AG410:AH410"/>
    <mergeCell ref="AI410:AJ410"/>
    <mergeCell ref="AC407:AE407"/>
    <mergeCell ref="AG407:AH407"/>
    <mergeCell ref="AI407:AJ407"/>
    <mergeCell ref="AC408:AE408"/>
    <mergeCell ref="AG408:AH408"/>
    <mergeCell ref="AI408:AJ408"/>
    <mergeCell ref="AC405:AE405"/>
    <mergeCell ref="AG405:AH405"/>
    <mergeCell ref="AI405:AJ405"/>
    <mergeCell ref="AC406:AE406"/>
    <mergeCell ref="AG406:AH406"/>
    <mergeCell ref="AI406:AJ406"/>
    <mergeCell ref="AC403:AE403"/>
    <mergeCell ref="AG403:AH403"/>
    <mergeCell ref="AI403:AJ403"/>
    <mergeCell ref="AC404:AE404"/>
    <mergeCell ref="AG404:AH404"/>
    <mergeCell ref="AI404:AJ404"/>
    <mergeCell ref="AC401:AE401"/>
    <mergeCell ref="AG401:AH401"/>
    <mergeCell ref="AI401:AJ401"/>
    <mergeCell ref="AC402:AE402"/>
    <mergeCell ref="AG402:AH402"/>
    <mergeCell ref="AI402:AJ402"/>
    <mergeCell ref="AB396:AQ396"/>
    <mergeCell ref="AB397:AQ397"/>
    <mergeCell ref="AC399:AE399"/>
    <mergeCell ref="AG399:AH399"/>
    <mergeCell ref="AI399:AJ399"/>
    <mergeCell ref="AC400:AE400"/>
    <mergeCell ref="AG400:AH400"/>
    <mergeCell ref="AI400:AJ400"/>
    <mergeCell ref="AB389:AQ389"/>
    <mergeCell ref="AB390:AQ390"/>
    <mergeCell ref="AB391:AQ391"/>
    <mergeCell ref="AB393:AQ393"/>
    <mergeCell ref="AB394:AQ394"/>
    <mergeCell ref="AB395:AQ395"/>
    <mergeCell ref="AB383:AQ383"/>
    <mergeCell ref="AB384:AQ384"/>
    <mergeCell ref="AB385:AQ385"/>
    <mergeCell ref="AB386:AQ386"/>
    <mergeCell ref="AB387:AQ387"/>
    <mergeCell ref="AB388:AQ388"/>
    <mergeCell ref="AB377:AQ377"/>
    <mergeCell ref="AB378:AQ378"/>
    <mergeCell ref="AB379:AQ379"/>
    <mergeCell ref="AB380:AQ380"/>
    <mergeCell ref="AB381:AQ381"/>
    <mergeCell ref="AB382:AQ382"/>
    <mergeCell ref="AB371:AP371"/>
    <mergeCell ref="AB372:AQ372"/>
    <mergeCell ref="AB373:AQ373"/>
    <mergeCell ref="AB374:AQ374"/>
    <mergeCell ref="AB375:AQ375"/>
    <mergeCell ref="AB376:AQ376"/>
    <mergeCell ref="AB367:AG367"/>
    <mergeCell ref="AI367:AS367"/>
    <mergeCell ref="AB368:AG368"/>
    <mergeCell ref="AI368:AS368"/>
    <mergeCell ref="AB369:AQ369"/>
    <mergeCell ref="AB370:AQ370"/>
    <mergeCell ref="AB362:AQ362"/>
    <mergeCell ref="AA363:AA364"/>
    <mergeCell ref="AB363:AQ363"/>
    <mergeCell ref="AB364:AQ364"/>
    <mergeCell ref="AB365:AQ365"/>
    <mergeCell ref="AB366:AQ366"/>
    <mergeCell ref="AB356:AQ356"/>
    <mergeCell ref="AB357:AQ357"/>
    <mergeCell ref="AB358:AQ358"/>
    <mergeCell ref="AB359:AG359"/>
    <mergeCell ref="AB360:AQ360"/>
    <mergeCell ref="AB361:AQ361"/>
    <mergeCell ref="AB351:AQ351"/>
    <mergeCell ref="AB352:AD352"/>
    <mergeCell ref="AG352:AQ352"/>
    <mergeCell ref="AB353:AQ353"/>
    <mergeCell ref="AB354:AQ354"/>
    <mergeCell ref="AB355:AQ355"/>
    <mergeCell ref="AB345:AQ345"/>
    <mergeCell ref="AB346:AQ346"/>
    <mergeCell ref="AB347:AQ347"/>
    <mergeCell ref="AB348:AQ348"/>
    <mergeCell ref="AB349:AQ349"/>
    <mergeCell ref="AB350:AD350"/>
    <mergeCell ref="AG350:AQ350"/>
    <mergeCell ref="AB339:AQ339"/>
    <mergeCell ref="AB340:AQ340"/>
    <mergeCell ref="AB341:AQ341"/>
    <mergeCell ref="AB342:AQ342"/>
    <mergeCell ref="AB343:AQ343"/>
    <mergeCell ref="AB344:AQ344"/>
    <mergeCell ref="AC329:AF329"/>
    <mergeCell ref="AB331:AQ331"/>
    <mergeCell ref="AB333:AQ333"/>
    <mergeCell ref="AB334:AQ334"/>
    <mergeCell ref="AB335:AQ335"/>
    <mergeCell ref="AA337:AA338"/>
    <mergeCell ref="AB337:AQ337"/>
    <mergeCell ref="AB338:AQ338"/>
    <mergeCell ref="AC323:AF323"/>
    <mergeCell ref="AC324:AF324"/>
    <mergeCell ref="AC325:AF325"/>
    <mergeCell ref="AC326:AF326"/>
    <mergeCell ref="AC327:AF327"/>
    <mergeCell ref="AC328:AF328"/>
    <mergeCell ref="AB317:AQ317"/>
    <mergeCell ref="AB318:AQ318"/>
    <mergeCell ref="AB319:AQ319"/>
    <mergeCell ref="AB320:AQ320"/>
    <mergeCell ref="AB321:AQ321"/>
    <mergeCell ref="AC322:AG322"/>
    <mergeCell ref="AB308:AQ308"/>
    <mergeCell ref="AB310:AQ310"/>
    <mergeCell ref="AB312:AQ312"/>
    <mergeCell ref="AB314:AQ314"/>
    <mergeCell ref="AB315:AQ315"/>
    <mergeCell ref="AB316:AQ316"/>
    <mergeCell ref="AC300:AD300"/>
    <mergeCell ref="AB302:AQ302"/>
    <mergeCell ref="AB303:AQ303"/>
    <mergeCell ref="AB305:AQ305"/>
    <mergeCell ref="AB306:AQ306"/>
    <mergeCell ref="AB307:AQ307"/>
    <mergeCell ref="AB294:AQ294"/>
    <mergeCell ref="AB295:AD296"/>
    <mergeCell ref="AE295:AE296"/>
    <mergeCell ref="AC297:AD297"/>
    <mergeCell ref="AC298:AD298"/>
    <mergeCell ref="AC299:AD299"/>
    <mergeCell ref="AB288:AT288"/>
    <mergeCell ref="AB289:AT289"/>
    <mergeCell ref="AB290:AT290"/>
    <mergeCell ref="AB291:AT291"/>
    <mergeCell ref="AB292:AT292"/>
    <mergeCell ref="AB293:AT293"/>
    <mergeCell ref="AB282:AT282"/>
    <mergeCell ref="AB283:AT283"/>
    <mergeCell ref="AB284:AT284"/>
    <mergeCell ref="AB285:AT285"/>
    <mergeCell ref="AB286:AT286"/>
    <mergeCell ref="AB287:AQ287"/>
    <mergeCell ref="AB276:AQ276"/>
    <mergeCell ref="AB277:AT277"/>
    <mergeCell ref="AB278:AT278"/>
    <mergeCell ref="AB279:AT279"/>
    <mergeCell ref="AB280:AT280"/>
    <mergeCell ref="AB281:AQ281"/>
    <mergeCell ref="AB270:AQ270"/>
    <mergeCell ref="AB271:AT271"/>
    <mergeCell ref="AB272:AT272"/>
    <mergeCell ref="AB273:AT273"/>
    <mergeCell ref="AB274:AT274"/>
    <mergeCell ref="AB275:AT275"/>
    <mergeCell ref="AB266:AI266"/>
    <mergeCell ref="AJ266:AK266"/>
    <mergeCell ref="AB267:AI267"/>
    <mergeCell ref="AJ267:AK267"/>
    <mergeCell ref="AB268:AQ268"/>
    <mergeCell ref="AB269:AQ269"/>
    <mergeCell ref="AB263:AI263"/>
    <mergeCell ref="AJ263:AK263"/>
    <mergeCell ref="AB264:AI264"/>
    <mergeCell ref="AJ264:AK264"/>
    <mergeCell ref="AB265:AI265"/>
    <mergeCell ref="AJ265:AK265"/>
    <mergeCell ref="AB258:AQ258"/>
    <mergeCell ref="AB259:AQ259"/>
    <mergeCell ref="AB260:AT260"/>
    <mergeCell ref="AB261:AT261"/>
    <mergeCell ref="AB262:AI262"/>
    <mergeCell ref="AJ262:AK262"/>
    <mergeCell ref="AC251:AD251"/>
    <mergeCell ref="AC252:AD252"/>
    <mergeCell ref="AC253:AD253"/>
    <mergeCell ref="AC254:AD254"/>
    <mergeCell ref="AB255:AQ255"/>
    <mergeCell ref="AB257:AQ257"/>
    <mergeCell ref="AB245:AK245"/>
    <mergeCell ref="AC246:AD246"/>
    <mergeCell ref="AC247:AF247"/>
    <mergeCell ref="AC248:AD248"/>
    <mergeCell ref="AC249:AD249"/>
    <mergeCell ref="AC250:AD250"/>
    <mergeCell ref="AB240:AC240"/>
    <mergeCell ref="AB241:AQ241"/>
    <mergeCell ref="AB242:AQ242"/>
    <mergeCell ref="AB243:AI243"/>
    <mergeCell ref="AJ243:AR243"/>
    <mergeCell ref="AB244:AQ244"/>
    <mergeCell ref="AB234:AQ234"/>
    <mergeCell ref="AB235:AQ235"/>
    <mergeCell ref="AB236:AC236"/>
    <mergeCell ref="AB237:AC237"/>
    <mergeCell ref="AB238:AC238"/>
    <mergeCell ref="AB239:AC239"/>
    <mergeCell ref="AB228:AC228"/>
    <mergeCell ref="AB229:AC229"/>
    <mergeCell ref="AB230:AC230"/>
    <mergeCell ref="AB231:AC231"/>
    <mergeCell ref="AB232:AC232"/>
    <mergeCell ref="AB233:AQ233"/>
    <mergeCell ref="AC222:AO222"/>
    <mergeCell ref="AP222:AQ222"/>
    <mergeCell ref="AB224:AQ224"/>
    <mergeCell ref="AB225:AT225"/>
    <mergeCell ref="AB226:AQ226"/>
    <mergeCell ref="AB227:AQ227"/>
    <mergeCell ref="AC219:AO219"/>
    <mergeCell ref="AP219:AQ219"/>
    <mergeCell ref="AC220:AO220"/>
    <mergeCell ref="AP220:AQ220"/>
    <mergeCell ref="AC221:AO221"/>
    <mergeCell ref="AP221:AQ221"/>
    <mergeCell ref="AC216:AO216"/>
    <mergeCell ref="AP216:AQ216"/>
    <mergeCell ref="AC217:AO217"/>
    <mergeCell ref="AP217:AQ217"/>
    <mergeCell ref="AC218:AO218"/>
    <mergeCell ref="AP218:AQ218"/>
    <mergeCell ref="AC213:AO213"/>
    <mergeCell ref="AP213:AQ213"/>
    <mergeCell ref="AC214:AO214"/>
    <mergeCell ref="AP214:AQ214"/>
    <mergeCell ref="AC215:AO215"/>
    <mergeCell ref="AP215:AQ215"/>
    <mergeCell ref="AB205:AT205"/>
    <mergeCell ref="AB206:AT206"/>
    <mergeCell ref="AB207:AT207"/>
    <mergeCell ref="AB208:AT208"/>
    <mergeCell ref="AB209:AT209"/>
    <mergeCell ref="AB211:AQ211"/>
    <mergeCell ref="AB199:AT199"/>
    <mergeCell ref="AB200:AI200"/>
    <mergeCell ref="AB201:AI201"/>
    <mergeCell ref="AB202:AT202"/>
    <mergeCell ref="AB203:AI203"/>
    <mergeCell ref="AB204:AT204"/>
    <mergeCell ref="AB194:AT194"/>
    <mergeCell ref="AB195:AI195"/>
    <mergeCell ref="AM195:AN195"/>
    <mergeCell ref="AB196:AT196"/>
    <mergeCell ref="AB197:AT197"/>
    <mergeCell ref="AB198:AI198"/>
    <mergeCell ref="AL188:AM188"/>
    <mergeCell ref="AL189:AM189"/>
    <mergeCell ref="AB190:AT190"/>
    <mergeCell ref="AL191:AM191"/>
    <mergeCell ref="AL192:AM192"/>
    <mergeCell ref="AL193:AM193"/>
    <mergeCell ref="AC167:AG167"/>
    <mergeCell ref="AB169:AK169"/>
    <mergeCell ref="AB172:AT172"/>
    <mergeCell ref="AB179:AT179"/>
    <mergeCell ref="AL183:AM183"/>
    <mergeCell ref="AL187:AM187"/>
    <mergeCell ref="AC161:AG161"/>
    <mergeCell ref="AC162:AG162"/>
    <mergeCell ref="AC163:AG163"/>
    <mergeCell ref="AC164:AG164"/>
    <mergeCell ref="AC165:AG165"/>
    <mergeCell ref="AC166:AG166"/>
    <mergeCell ref="AC155:AG155"/>
    <mergeCell ref="AC156:AG156"/>
    <mergeCell ref="AC157:AG157"/>
    <mergeCell ref="AC158:AG158"/>
    <mergeCell ref="AC159:AG159"/>
    <mergeCell ref="AC160:AG160"/>
    <mergeCell ref="AC149:AG149"/>
    <mergeCell ref="AC150:AG150"/>
    <mergeCell ref="AC151:AG151"/>
    <mergeCell ref="AC152:AG152"/>
    <mergeCell ref="AC153:AG153"/>
    <mergeCell ref="AC154:AG154"/>
    <mergeCell ref="AC143:AG143"/>
    <mergeCell ref="AC144:AG144"/>
    <mergeCell ref="AC145:AG145"/>
    <mergeCell ref="AC146:AG146"/>
    <mergeCell ref="AC147:AG147"/>
    <mergeCell ref="AC148:AG148"/>
    <mergeCell ref="AC137:AG137"/>
    <mergeCell ref="AC138:AG138"/>
    <mergeCell ref="AC139:AG139"/>
    <mergeCell ref="AC140:AG140"/>
    <mergeCell ref="AC141:AG141"/>
    <mergeCell ref="AC142:AG142"/>
    <mergeCell ref="AC131:AG131"/>
    <mergeCell ref="AC132:AG132"/>
    <mergeCell ref="AC133:AG133"/>
    <mergeCell ref="AC134:AG134"/>
    <mergeCell ref="AC135:AG135"/>
    <mergeCell ref="AC136:AG136"/>
    <mergeCell ref="AG117:AQ117"/>
    <mergeCell ref="AG118:AQ118"/>
    <mergeCell ref="AG120:AQ120"/>
    <mergeCell ref="AG122:AQ122"/>
    <mergeCell ref="AB124:AT124"/>
    <mergeCell ref="AG126:AQ126"/>
    <mergeCell ref="AB130:AD130"/>
    <mergeCell ref="AB113:AF113"/>
    <mergeCell ref="AG113:AQ113"/>
    <mergeCell ref="AB114:AF114"/>
    <mergeCell ref="AG114:AQ114"/>
    <mergeCell ref="AG115:AQ115"/>
    <mergeCell ref="AG116:AQ116"/>
    <mergeCell ref="AB110:AF110"/>
    <mergeCell ref="AG110:AQ110"/>
    <mergeCell ref="AB111:AF111"/>
    <mergeCell ref="AG111:AQ111"/>
    <mergeCell ref="AB112:AF112"/>
    <mergeCell ref="AG112:AQ112"/>
    <mergeCell ref="AB102:AT102"/>
    <mergeCell ref="AB103:AT103"/>
    <mergeCell ref="AB104:AT104"/>
    <mergeCell ref="AB105:AT105"/>
    <mergeCell ref="AB107:AQ107"/>
    <mergeCell ref="AB109:AQ109"/>
    <mergeCell ref="AB96:AT96"/>
    <mergeCell ref="AB97:AT97"/>
    <mergeCell ref="AB98:AT98"/>
    <mergeCell ref="AB99:AT99"/>
    <mergeCell ref="AB100:AT100"/>
    <mergeCell ref="AB101:AS101"/>
    <mergeCell ref="AB89:AT89"/>
    <mergeCell ref="AB90:AT90"/>
    <mergeCell ref="AB91:AT91"/>
    <mergeCell ref="AB92:AT92"/>
    <mergeCell ref="AB94:AT94"/>
    <mergeCell ref="AB95:AT95"/>
    <mergeCell ref="AB82:AT82"/>
    <mergeCell ref="AB83:AT83"/>
    <mergeCell ref="AB84:AT84"/>
    <mergeCell ref="AB85:AT85"/>
    <mergeCell ref="AB87:AQ87"/>
    <mergeCell ref="AB88:AT88"/>
    <mergeCell ref="AB76:AT76"/>
    <mergeCell ref="AB77:AT77"/>
    <mergeCell ref="AB78:AT78"/>
    <mergeCell ref="AB79:AT79"/>
    <mergeCell ref="AC80:AD80"/>
    <mergeCell ref="AF80:AG80"/>
    <mergeCell ref="AB68:AT68"/>
    <mergeCell ref="AB70:AT70"/>
    <mergeCell ref="AB71:AQ71"/>
    <mergeCell ref="AB73:AT73"/>
    <mergeCell ref="AB74:AT74"/>
    <mergeCell ref="AB75:AQ75"/>
    <mergeCell ref="AB58:AT58"/>
    <mergeCell ref="AB59:AT59"/>
    <mergeCell ref="AB61:AT61"/>
    <mergeCell ref="AB62:AT62"/>
    <mergeCell ref="AB65:AQ65"/>
    <mergeCell ref="AB67:AT67"/>
    <mergeCell ref="AB54:AF54"/>
    <mergeCell ref="AG54:AQ54"/>
    <mergeCell ref="AB55:AT55"/>
    <mergeCell ref="AC56:AD56"/>
    <mergeCell ref="AF56:AG56"/>
    <mergeCell ref="AB57:AT57"/>
    <mergeCell ref="AB48:AT48"/>
    <mergeCell ref="AB49:AT49"/>
    <mergeCell ref="AB50:AT50"/>
    <mergeCell ref="AB51:AT51"/>
    <mergeCell ref="AB52:AT52"/>
    <mergeCell ref="AB53:AT53"/>
    <mergeCell ref="AB42:AT42"/>
    <mergeCell ref="AB43:AT43"/>
    <mergeCell ref="AB44:AT44"/>
    <mergeCell ref="AB45:AT45"/>
    <mergeCell ref="AB46:AT46"/>
    <mergeCell ref="AB47:AT47"/>
    <mergeCell ref="AB35:AG35"/>
    <mergeCell ref="AH35:AO35"/>
    <mergeCell ref="AB36:AG36"/>
    <mergeCell ref="AH36:AO36"/>
    <mergeCell ref="AB38:AQ38"/>
    <mergeCell ref="AB40:AT40"/>
    <mergeCell ref="AB33:AG33"/>
    <mergeCell ref="AH33:AI33"/>
    <mergeCell ref="AJ33:AK33"/>
    <mergeCell ref="AL33:AM33"/>
    <mergeCell ref="AN33:AO33"/>
    <mergeCell ref="AB34:AG34"/>
    <mergeCell ref="AH34:AI34"/>
    <mergeCell ref="AJ34:AK34"/>
    <mergeCell ref="AL34:AM34"/>
    <mergeCell ref="AN34:AO34"/>
    <mergeCell ref="AB31:AG31"/>
    <mergeCell ref="AH31:AI31"/>
    <mergeCell ref="AJ31:AK31"/>
    <mergeCell ref="AL31:AM31"/>
    <mergeCell ref="AN31:AO31"/>
    <mergeCell ref="AB32:AG32"/>
    <mergeCell ref="AH32:AI32"/>
    <mergeCell ref="AJ32:AK32"/>
    <mergeCell ref="AL32:AM32"/>
    <mergeCell ref="AN32:AO32"/>
    <mergeCell ref="AB26:AF26"/>
    <mergeCell ref="AG26:AQ26"/>
    <mergeCell ref="AR26:AT26"/>
    <mergeCell ref="AB28:AQ28"/>
    <mergeCell ref="AB30:AG30"/>
    <mergeCell ref="AH30:AI30"/>
    <mergeCell ref="AJ30:AK30"/>
    <mergeCell ref="AL30:AM30"/>
    <mergeCell ref="AN30:AO30"/>
    <mergeCell ref="AB25:AF25"/>
    <mergeCell ref="AG25:AQ25"/>
    <mergeCell ref="AB14:AT14"/>
    <mergeCell ref="AG16:AO16"/>
    <mergeCell ref="AB17:AT17"/>
    <mergeCell ref="AG18:AO18"/>
    <mergeCell ref="AB20:AQ20"/>
    <mergeCell ref="AB22:AF22"/>
    <mergeCell ref="AG22:AQ22"/>
    <mergeCell ref="AB8:AT8"/>
    <mergeCell ref="AB9:AT9"/>
    <mergeCell ref="AB10:AT10"/>
    <mergeCell ref="AB11:AT11"/>
    <mergeCell ref="AB12:AT12"/>
    <mergeCell ref="AB13:AT13"/>
    <mergeCell ref="AB23:AF23"/>
    <mergeCell ref="AG23:AQ23"/>
    <mergeCell ref="AB24:AF24"/>
    <mergeCell ref="AG24:AQ24"/>
  </mergeCells>
  <dataValidations count="3">
    <dataValidation type="list" allowBlank="1" showInputMessage="1" showErrorMessage="1" sqref="AG116:AQ118" xr:uid="{00000000-0002-0000-2000-000000000000}">
      <formula1>YES_NO</formula1>
    </dataValidation>
    <dataValidation type="list" allowBlank="1" showInputMessage="1" showErrorMessage="1" sqref="AG122:AQ122" xr:uid="{00000000-0002-0000-2000-000001000000}">
      <formula1>EZ_DPR</formula1>
    </dataValidation>
    <dataValidation type="list" allowBlank="1" showInputMessage="1" showErrorMessage="1" errorTitle="Ошибка" error="Выберите значение из списка" prompt="Выберите значение из списка" sqref="AG120:AQ120" xr:uid="{00000000-0002-0000-2000-000002000000}">
      <formula1>TYPE_KOTEL</formula1>
    </dataValidation>
  </dataValidations>
  <hyperlinks>
    <hyperlink ref="AP222:AQ222" r:id="rId1" display="http://sgarantgkh@list.ru/" xr:uid="{00000000-0004-0000-2000-000000000000}"/>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99"/>
  </sheetPr>
  <dimension ref="A1:AI92"/>
  <sheetViews>
    <sheetView showGridLines="0" topLeftCell="F13" workbookViewId="0"/>
  </sheetViews>
  <sheetFormatPr defaultColWidth="9" defaultRowHeight="11.45" customHeight="1"/>
  <cols>
    <col min="1" max="1" width="12.5703125" hidden="1" customWidth="1"/>
    <col min="2" max="5" width="4.42578125" hidden="1" customWidth="1"/>
    <col min="6" max="6" width="6.7109375" customWidth="1"/>
    <col min="7" max="7" width="6.140625" customWidth="1"/>
    <col min="8" max="8" width="46.140625" customWidth="1"/>
    <col min="9" max="9" width="12.85546875" customWidth="1"/>
    <col min="10" max="10" width="25.140625" customWidth="1"/>
    <col min="11" max="11" width="11.140625" customWidth="1"/>
    <col min="12" max="15" width="16.42578125" customWidth="1"/>
    <col min="17" max="17" width="9" hidden="1"/>
    <col min="18" max="18" width="12" hidden="1" customWidth="1"/>
    <col min="19" max="20" width="13.140625" hidden="1" customWidth="1"/>
    <col min="21" max="34" width="9" hidden="1"/>
  </cols>
  <sheetData>
    <row r="1" spans="1:20" ht="12.75" hidden="1" customHeight="1">
      <c r="A1" s="29" t="b">
        <f>FALSE</f>
        <v>0</v>
      </c>
      <c r="N1" s="638" t="b">
        <f>REPORT_OWNER&lt;&gt;"Версия организации"</f>
        <v>0</v>
      </c>
      <c r="O1" s="638" t="b">
        <f>REPORT_OWNER&lt;&gt;"Версия организации"</f>
        <v>0</v>
      </c>
    </row>
    <row r="2" spans="1:20" ht="12.75" hidden="1" customHeight="1">
      <c r="Q2" s="83"/>
      <c r="R2" s="264" t="s">
        <v>2086</v>
      </c>
      <c r="S2" s="264" t="s">
        <v>2085</v>
      </c>
      <c r="T2" s="264" t="s">
        <v>2087</v>
      </c>
    </row>
    <row r="3" spans="1:20" ht="12.75" hidden="1" customHeight="1">
      <c r="Q3" s="264">
        <v>0</v>
      </c>
      <c r="R3" s="83">
        <v>1</v>
      </c>
      <c r="S3" s="83">
        <v>1</v>
      </c>
      <c r="T3" s="83">
        <v>2</v>
      </c>
    </row>
    <row r="4" spans="1:20" ht="12.75" hidden="1" customHeight="1">
      <c r="Q4" s="264">
        <v>240</v>
      </c>
      <c r="R4" s="83">
        <v>8</v>
      </c>
      <c r="S4" s="83">
        <v>16</v>
      </c>
      <c r="T4" s="83">
        <v>24</v>
      </c>
    </row>
    <row r="5" spans="1:20" ht="12.75" hidden="1" customHeight="1">
      <c r="Q5" s="264">
        <v>31</v>
      </c>
      <c r="R5" s="83">
        <v>2</v>
      </c>
      <c r="S5" s="83">
        <v>2</v>
      </c>
      <c r="T5" s="83">
        <v>3</v>
      </c>
    </row>
    <row r="6" spans="1:20" ht="12.75" hidden="1" customHeight="1">
      <c r="Q6" s="264">
        <v>40</v>
      </c>
      <c r="R6" s="83">
        <v>2</v>
      </c>
      <c r="S6" s="83">
        <v>3</v>
      </c>
      <c r="T6" s="83">
        <v>4</v>
      </c>
    </row>
    <row r="7" spans="1:20" ht="12.75" hidden="1" customHeight="1">
      <c r="Q7" s="264">
        <v>41</v>
      </c>
      <c r="R7" s="83">
        <v>3</v>
      </c>
      <c r="S7" s="83">
        <v>3</v>
      </c>
      <c r="T7" s="83">
        <v>4</v>
      </c>
    </row>
    <row r="8" spans="1:20" ht="12.75" hidden="1" customHeight="1">
      <c r="Q8" s="264">
        <v>60</v>
      </c>
      <c r="R8" s="83">
        <v>3</v>
      </c>
      <c r="S8" s="83">
        <v>4</v>
      </c>
      <c r="T8" s="83">
        <v>5</v>
      </c>
    </row>
    <row r="9" spans="1:20" ht="12.75" hidden="1" customHeight="1">
      <c r="Q9" s="264">
        <v>61</v>
      </c>
      <c r="R9" s="83">
        <v>4</v>
      </c>
      <c r="S9" s="83">
        <v>4</v>
      </c>
      <c r="T9" s="83">
        <v>5</v>
      </c>
    </row>
    <row r="10" spans="1:20" ht="12.75" hidden="1" customHeight="1">
      <c r="Q10" s="264">
        <v>80</v>
      </c>
      <c r="R10" s="83">
        <v>4</v>
      </c>
      <c r="S10" s="83">
        <v>5</v>
      </c>
      <c r="T10" s="83">
        <v>6</v>
      </c>
    </row>
    <row r="11" spans="1:20" ht="12.75" hidden="1" customHeight="1">
      <c r="Q11" s="264">
        <v>81</v>
      </c>
      <c r="R11" s="83">
        <v>5</v>
      </c>
      <c r="S11" s="83">
        <v>5</v>
      </c>
      <c r="T11" s="83">
        <v>6</v>
      </c>
    </row>
    <row r="12" spans="1:20" ht="12.75" hidden="1" customHeight="1">
      <c r="Q12" s="264">
        <v>100</v>
      </c>
      <c r="R12" s="83">
        <v>5</v>
      </c>
      <c r="S12" s="83">
        <v>6</v>
      </c>
      <c r="T12" s="83">
        <v>7</v>
      </c>
    </row>
    <row r="13" spans="1:20" ht="21.75" customHeight="1">
      <c r="Q13" s="264">
        <v>101</v>
      </c>
      <c r="R13" s="83">
        <v>6</v>
      </c>
      <c r="S13" s="83">
        <v>6</v>
      </c>
      <c r="T13" s="83">
        <v>7</v>
      </c>
    </row>
    <row r="14" spans="1:20" ht="27" customHeight="1">
      <c r="G14" s="1142" t="s">
        <v>2015</v>
      </c>
      <c r="H14" s="1142"/>
      <c r="I14" s="1142"/>
      <c r="J14" s="1142"/>
      <c r="K14" s="1142"/>
      <c r="L14" s="154"/>
      <c r="M14" s="154"/>
      <c r="N14" s="154"/>
      <c r="O14" s="154"/>
      <c r="P14" s="154"/>
      <c r="Q14" s="59">
        <v>120</v>
      </c>
      <c r="R14" s="85">
        <v>6</v>
      </c>
      <c r="S14" s="85">
        <v>7</v>
      </c>
      <c r="T14" s="85">
        <v>8</v>
      </c>
    </row>
    <row r="15" spans="1:20" ht="3.75" customHeight="1">
      <c r="H15" s="153"/>
      <c r="I15" s="153"/>
      <c r="J15" s="153"/>
      <c r="K15" s="153"/>
      <c r="L15" s="153"/>
      <c r="M15" s="153"/>
      <c r="N15" s="153"/>
      <c r="O15" s="153"/>
      <c r="P15" s="153"/>
      <c r="Q15" s="59">
        <v>121</v>
      </c>
      <c r="R15" s="85">
        <v>7</v>
      </c>
      <c r="S15" s="85">
        <v>7</v>
      </c>
      <c r="T15" s="85">
        <v>8</v>
      </c>
    </row>
    <row r="16" spans="1:20" ht="11.25" customHeight="1">
      <c r="G16" s="798" t="s">
        <v>509</v>
      </c>
      <c r="H16" s="1150" t="s">
        <v>2016</v>
      </c>
      <c r="I16" s="1150" t="s">
        <v>2017</v>
      </c>
      <c r="J16" s="1150" t="s">
        <v>2018</v>
      </c>
      <c r="K16" s="1150" t="s">
        <v>609</v>
      </c>
      <c r="L16" s="851" t="str">
        <f>PRD&amp;" год предложение ТСО"</f>
        <v>2026 год предложение ТСО</v>
      </c>
      <c r="M16" s="851"/>
      <c r="N16" s="1137" t="str">
        <f>PRD&amp;" год план Версия регулятора"</f>
        <v>2026 год план Версия регулятора</v>
      </c>
      <c r="O16" s="1137"/>
      <c r="P16" s="639"/>
      <c r="Q16" s="59">
        <v>140</v>
      </c>
      <c r="R16" s="85">
        <v>7</v>
      </c>
      <c r="S16" s="85">
        <v>8</v>
      </c>
      <c r="T16" s="85">
        <v>9</v>
      </c>
    </row>
    <row r="17" spans="7:35" ht="22.5" customHeight="1">
      <c r="G17" s="798" t="s">
        <v>509</v>
      </c>
      <c r="H17" s="1150"/>
      <c r="I17" s="1150"/>
      <c r="J17" s="1150"/>
      <c r="K17" s="1150"/>
      <c r="L17" s="43" t="s">
        <v>2019</v>
      </c>
      <c r="M17" s="43" t="s">
        <v>2088</v>
      </c>
      <c r="N17" s="43" t="s">
        <v>2019</v>
      </c>
      <c r="O17" s="43" t="s">
        <v>2088</v>
      </c>
      <c r="Q17" s="59">
        <v>141</v>
      </c>
      <c r="R17" s="85">
        <v>8</v>
      </c>
      <c r="S17" s="85">
        <v>8</v>
      </c>
      <c r="T17" s="85">
        <v>9</v>
      </c>
      <c r="U17" s="640"/>
      <c r="V17" s="640"/>
      <c r="W17" s="640"/>
      <c r="X17" s="640"/>
      <c r="Y17" s="640"/>
      <c r="Z17" s="640"/>
      <c r="AA17" s="640"/>
      <c r="AB17" s="640"/>
      <c r="AC17" s="640"/>
      <c r="AD17" s="640"/>
      <c r="AE17" s="640"/>
      <c r="AF17" s="640"/>
      <c r="AG17" s="640"/>
      <c r="AH17" s="640"/>
      <c r="AI17" s="640"/>
    </row>
    <row r="18" spans="7:35" ht="18.75" hidden="1" customHeight="1">
      <c r="Q18" s="59">
        <v>160</v>
      </c>
      <c r="R18" s="85">
        <v>8</v>
      </c>
      <c r="S18" s="85">
        <v>9</v>
      </c>
      <c r="T18" s="85">
        <v>10</v>
      </c>
      <c r="U18" s="640"/>
      <c r="V18" s="640"/>
      <c r="W18" s="640"/>
      <c r="X18" s="640"/>
      <c r="Y18" s="640"/>
      <c r="Z18" s="640"/>
      <c r="AA18" s="640"/>
      <c r="AB18" s="640"/>
      <c r="AC18" s="640"/>
      <c r="AD18" s="640"/>
      <c r="AE18" s="640"/>
      <c r="AF18" s="640"/>
      <c r="AG18" s="640"/>
      <c r="AH18" s="640"/>
      <c r="AI18" s="640"/>
    </row>
    <row r="19" spans="7:35" ht="11.25" customHeight="1">
      <c r="G19" s="66" t="s">
        <v>528</v>
      </c>
      <c r="H19" s="464" t="s">
        <v>2089</v>
      </c>
      <c r="I19" s="1150" t="s">
        <v>2020</v>
      </c>
      <c r="J19" s="1150" t="s">
        <v>2021</v>
      </c>
      <c r="K19" s="1150" t="s">
        <v>959</v>
      </c>
      <c r="L19" s="75"/>
      <c r="M19" s="78">
        <f t="shared" ref="M19:M28" si="0">ROUND(IF(L$19&lt;=100,FORECAST(L$19,$Q21:$R21,$Q$20:$R$20),0)+IF(AND(L$19&gt;100,L$19&lt;201),FORECAST(L$19,$S21:$T21,$S$20:$T$20),0)+IF(AND(L$19&gt;200,L$19&lt;301),FORECAST(L$19,$U21:$V21,$U$20:$V$20),0)+IF(AND(L$19&gt;300,L$19&lt;401),FORECAST(L$19,$W21:$X21,$W$20:$X$20),0)+IF(AND(L$19&gt;400,L$19&lt;601),FORECAST(L$19,$Y21:$Z21,$Y$20:$Z$20),0)+IF(AND(L$19&gt;600,L$19&lt;801),FORECAST(L$19,$AA21:$AB21,$AA$20:$AB$20),0)+IF(L$19&gt;800,$AB21,0),1)</f>
        <v>2</v>
      </c>
      <c r="N19" s="75">
        <f>L19</f>
        <v>0</v>
      </c>
      <c r="O19" s="78">
        <f t="shared" ref="O19:O28" si="1">ROUND(IF(N$19&lt;=100,FORECAST(N$19,$Q21:$R21,$Q$20:$R$20),0)+IF(AND(N$19&gt;100,N$19&lt;201),FORECAST(N$19,$S21:$T21,$S$20:$T$20),0)+IF(AND(N$19&gt;200,N$19&lt;301),FORECAST(N$19,$U21:$V21,$U$20:$V$20),0)+IF(AND(N$19&gt;300,N$19&lt;401),FORECAST(N$19,$W21:$X21,$W$20:$X$20),0)+IF(AND(N$19&gt;400,N$19&lt;601),FORECAST(N$19,$Y21:$Z21,$Y$20:$Z$20),0)+IF(AND(N$19&gt;600,N$19&lt;801),FORECAST(N$19,$AA21:$AB21,$AA$20:$AB$20),0)+IF(N$19&gt;800,$AB21,0),1)</f>
        <v>2</v>
      </c>
      <c r="U19" s="640"/>
      <c r="V19" s="640"/>
      <c r="W19" s="640"/>
      <c r="X19" s="640"/>
      <c r="Y19" s="640"/>
      <c r="Z19" s="640"/>
      <c r="AA19" s="640"/>
      <c r="AB19" s="640"/>
      <c r="AC19" s="640"/>
      <c r="AD19" s="640"/>
      <c r="AE19" s="640"/>
      <c r="AF19" s="640"/>
      <c r="AG19" s="640"/>
      <c r="AH19" s="640"/>
      <c r="AI19" s="640"/>
    </row>
    <row r="20" spans="7:35" ht="11.25" customHeight="1">
      <c r="G20" s="66" t="s">
        <v>530</v>
      </c>
      <c r="H20" s="464" t="s">
        <v>2022</v>
      </c>
      <c r="I20" s="1150"/>
      <c r="J20" s="1150"/>
      <c r="K20" s="1150"/>
      <c r="L20" s="78">
        <f>L19</f>
        <v>0</v>
      </c>
      <c r="M20" s="78">
        <f t="shared" si="0"/>
        <v>2</v>
      </c>
      <c r="N20" s="78">
        <f>N19</f>
        <v>0</v>
      </c>
      <c r="O20" s="78">
        <f t="shared" si="1"/>
        <v>2</v>
      </c>
      <c r="Q20" s="264">
        <v>0</v>
      </c>
      <c r="R20" s="264">
        <v>100</v>
      </c>
      <c r="S20" s="264">
        <v>101</v>
      </c>
      <c r="T20" s="264">
        <v>200</v>
      </c>
      <c r="U20" s="264">
        <v>201</v>
      </c>
      <c r="V20" s="264">
        <v>300</v>
      </c>
      <c r="W20" s="264">
        <v>301</v>
      </c>
      <c r="X20" s="264">
        <v>400</v>
      </c>
      <c r="Y20" s="264">
        <v>401</v>
      </c>
      <c r="Z20" s="264">
        <v>600</v>
      </c>
      <c r="AA20" s="264">
        <v>601</v>
      </c>
      <c r="AB20" s="264">
        <v>800</v>
      </c>
      <c r="AE20" s="640"/>
      <c r="AF20" s="640"/>
      <c r="AG20" s="640"/>
      <c r="AH20" s="640"/>
      <c r="AI20" s="640"/>
    </row>
    <row r="21" spans="7:35" ht="11.25" customHeight="1">
      <c r="G21" s="66" t="s">
        <v>532</v>
      </c>
      <c r="H21" s="464" t="s">
        <v>2023</v>
      </c>
      <c r="I21" s="1150"/>
      <c r="J21" s="1150"/>
      <c r="K21" s="1150"/>
      <c r="L21" s="78">
        <f>L20</f>
        <v>0</v>
      </c>
      <c r="M21" s="78">
        <f t="shared" si="0"/>
        <v>0.5</v>
      </c>
      <c r="N21" s="78">
        <f>N20</f>
        <v>0</v>
      </c>
      <c r="O21" s="78">
        <f t="shared" si="1"/>
        <v>0.5</v>
      </c>
      <c r="Q21" s="83">
        <v>2</v>
      </c>
      <c r="R21" s="83">
        <v>2</v>
      </c>
      <c r="S21" s="83">
        <v>2</v>
      </c>
      <c r="T21" s="83">
        <v>2</v>
      </c>
      <c r="U21" s="83">
        <v>2</v>
      </c>
      <c r="V21" s="83">
        <v>3</v>
      </c>
      <c r="W21" s="83">
        <v>3</v>
      </c>
      <c r="X21" s="83">
        <v>3</v>
      </c>
      <c r="Y21" s="83">
        <v>3</v>
      </c>
      <c r="Z21" s="83">
        <v>4</v>
      </c>
      <c r="AA21" s="83">
        <v>4</v>
      </c>
      <c r="AB21" s="83">
        <v>4</v>
      </c>
      <c r="AE21" s="640"/>
      <c r="AF21" s="640"/>
      <c r="AG21" s="640"/>
      <c r="AH21" s="640"/>
      <c r="AI21" s="640"/>
    </row>
    <row r="22" spans="7:35" ht="23.25" customHeight="1">
      <c r="G22" s="66" t="s">
        <v>534</v>
      </c>
      <c r="H22" s="464" t="s">
        <v>2024</v>
      </c>
      <c r="I22" s="1150"/>
      <c r="J22" s="1150"/>
      <c r="K22" s="1150"/>
      <c r="L22" s="78">
        <f>L21</f>
        <v>0</v>
      </c>
      <c r="M22" s="78">
        <f t="shared" si="0"/>
        <v>1</v>
      </c>
      <c r="N22" s="78">
        <f>N21</f>
        <v>0</v>
      </c>
      <c r="O22" s="78">
        <f t="shared" si="1"/>
        <v>1</v>
      </c>
      <c r="Q22" s="83">
        <v>2</v>
      </c>
      <c r="R22" s="83">
        <v>3</v>
      </c>
      <c r="S22" s="83">
        <v>3</v>
      </c>
      <c r="T22" s="83">
        <v>4</v>
      </c>
      <c r="U22" s="83">
        <v>4</v>
      </c>
      <c r="V22" s="83">
        <v>5</v>
      </c>
      <c r="W22" s="83">
        <v>5</v>
      </c>
      <c r="X22" s="83">
        <v>6</v>
      </c>
      <c r="Y22" s="83">
        <v>6</v>
      </c>
      <c r="Z22" s="83">
        <v>7</v>
      </c>
      <c r="AA22" s="83">
        <v>7</v>
      </c>
      <c r="AB22" s="83">
        <v>8</v>
      </c>
      <c r="AE22" s="640"/>
      <c r="AF22" s="640"/>
      <c r="AG22" s="640"/>
      <c r="AH22" s="640"/>
      <c r="AI22" s="640"/>
    </row>
    <row r="23" spans="7:35" ht="23.25" customHeight="1">
      <c r="G23" s="66" t="s">
        <v>536</v>
      </c>
      <c r="H23" s="464" t="s">
        <v>2025</v>
      </c>
      <c r="I23" s="1150"/>
      <c r="J23" s="1150"/>
      <c r="K23" s="1150"/>
      <c r="L23" s="78">
        <f>L22</f>
        <v>0</v>
      </c>
      <c r="M23" s="78">
        <f t="shared" si="0"/>
        <v>0</v>
      </c>
      <c r="N23" s="78">
        <f>N22</f>
        <v>0</v>
      </c>
      <c r="O23" s="78">
        <f t="shared" si="1"/>
        <v>0</v>
      </c>
      <c r="Q23" s="83">
        <v>0.5</v>
      </c>
      <c r="R23" s="83">
        <v>0.5</v>
      </c>
      <c r="S23" s="83">
        <v>0.5</v>
      </c>
      <c r="T23" s="83">
        <v>1</v>
      </c>
      <c r="U23" s="83">
        <v>1</v>
      </c>
      <c r="V23" s="83">
        <v>1</v>
      </c>
      <c r="W23" s="83">
        <v>1</v>
      </c>
      <c r="X23" s="83">
        <v>2</v>
      </c>
      <c r="Y23" s="83">
        <v>2</v>
      </c>
      <c r="Z23" s="83">
        <v>2</v>
      </c>
      <c r="AA23" s="83">
        <v>2</v>
      </c>
      <c r="AB23" s="83">
        <v>2</v>
      </c>
    </row>
    <row r="24" spans="7:35" ht="11.25" customHeight="1">
      <c r="G24" s="66" t="s">
        <v>541</v>
      </c>
      <c r="H24" s="464" t="s">
        <v>2026</v>
      </c>
      <c r="I24" s="1150"/>
      <c r="J24" s="1150"/>
      <c r="K24" s="1150"/>
      <c r="L24" s="78">
        <f>L23</f>
        <v>0</v>
      </c>
      <c r="M24" s="78">
        <f t="shared" si="0"/>
        <v>0.5</v>
      </c>
      <c r="N24" s="78">
        <f>N23</f>
        <v>0</v>
      </c>
      <c r="O24" s="78">
        <f t="shared" si="1"/>
        <v>0.5</v>
      </c>
      <c r="Q24" s="83">
        <v>1</v>
      </c>
      <c r="R24" s="83">
        <v>1</v>
      </c>
      <c r="S24" s="83">
        <v>1</v>
      </c>
      <c r="T24" s="83">
        <v>2</v>
      </c>
      <c r="U24" s="83">
        <v>2</v>
      </c>
      <c r="V24" s="83">
        <v>2.5</v>
      </c>
      <c r="W24" s="83">
        <v>2.5</v>
      </c>
      <c r="X24" s="83">
        <v>3</v>
      </c>
      <c r="Y24" s="83">
        <v>3</v>
      </c>
      <c r="Z24" s="83">
        <v>4</v>
      </c>
      <c r="AA24" s="83">
        <v>4</v>
      </c>
      <c r="AB24" s="83">
        <v>5</v>
      </c>
    </row>
    <row r="25" spans="7:35" ht="11.25" customHeight="1">
      <c r="G25" s="66" t="s">
        <v>543</v>
      </c>
      <c r="H25" s="464" t="s">
        <v>2027</v>
      </c>
      <c r="I25" s="1150"/>
      <c r="J25" s="1150"/>
      <c r="K25" s="1150"/>
      <c r="L25" s="78">
        <f>L23</f>
        <v>0</v>
      </c>
      <c r="M25" s="78">
        <f t="shared" si="0"/>
        <v>1</v>
      </c>
      <c r="N25" s="78"/>
      <c r="O25" s="78">
        <f t="shared" si="1"/>
        <v>1</v>
      </c>
      <c r="Q25" s="83">
        <v>0</v>
      </c>
      <c r="R25" s="83">
        <v>0</v>
      </c>
      <c r="S25" s="83">
        <v>0</v>
      </c>
      <c r="T25" s="83">
        <v>0</v>
      </c>
      <c r="U25" s="83">
        <v>0.5</v>
      </c>
      <c r="V25" s="83">
        <v>1</v>
      </c>
      <c r="W25" s="83">
        <v>1</v>
      </c>
      <c r="X25" s="83">
        <v>1</v>
      </c>
      <c r="Y25" s="83">
        <v>1</v>
      </c>
      <c r="Z25" s="83">
        <v>1</v>
      </c>
      <c r="AA25" s="83">
        <v>1</v>
      </c>
      <c r="AB25" s="83">
        <v>2</v>
      </c>
    </row>
    <row r="26" spans="7:35" ht="11.25" customHeight="1">
      <c r="G26" s="66" t="s">
        <v>548</v>
      </c>
      <c r="H26" s="464" t="s">
        <v>2028</v>
      </c>
      <c r="I26" s="1150"/>
      <c r="J26" s="1150"/>
      <c r="K26" s="1150"/>
      <c r="L26" s="78">
        <f>L24</f>
        <v>0</v>
      </c>
      <c r="M26" s="78">
        <f t="shared" si="0"/>
        <v>0.5</v>
      </c>
      <c r="N26" s="78">
        <f>N24</f>
        <v>0</v>
      </c>
      <c r="O26" s="78">
        <f t="shared" si="1"/>
        <v>0.5</v>
      </c>
      <c r="Q26" s="83">
        <v>0.5</v>
      </c>
      <c r="R26" s="83">
        <v>0.5</v>
      </c>
      <c r="S26" s="83">
        <v>0.5</v>
      </c>
      <c r="T26" s="83">
        <v>0.5</v>
      </c>
      <c r="U26" s="83">
        <v>0.5</v>
      </c>
      <c r="V26" s="83">
        <v>1</v>
      </c>
      <c r="W26" s="83">
        <v>1</v>
      </c>
      <c r="X26" s="83">
        <v>1</v>
      </c>
      <c r="Y26" s="83">
        <v>1</v>
      </c>
      <c r="Z26" s="83">
        <v>2</v>
      </c>
      <c r="AA26" s="83">
        <v>2</v>
      </c>
      <c r="AB26" s="83">
        <v>3</v>
      </c>
    </row>
    <row r="27" spans="7:35" ht="11.25" customHeight="1">
      <c r="G27" s="66" t="s">
        <v>550</v>
      </c>
      <c r="H27" s="464" t="s">
        <v>2029</v>
      </c>
      <c r="I27" s="1150"/>
      <c r="J27" s="1150"/>
      <c r="K27" s="1150"/>
      <c r="L27" s="78">
        <f>L26</f>
        <v>0</v>
      </c>
      <c r="M27" s="78">
        <f t="shared" si="0"/>
        <v>0.5</v>
      </c>
      <c r="N27" s="78">
        <f>N26</f>
        <v>0</v>
      </c>
      <c r="O27" s="78">
        <f t="shared" si="1"/>
        <v>0.5</v>
      </c>
      <c r="Q27" s="641">
        <v>1</v>
      </c>
      <c r="R27" s="641">
        <v>3</v>
      </c>
      <c r="S27" s="641">
        <v>3</v>
      </c>
      <c r="T27" s="641">
        <v>4</v>
      </c>
      <c r="U27" s="641">
        <v>4</v>
      </c>
      <c r="V27" s="641">
        <v>5</v>
      </c>
      <c r="W27" s="641">
        <v>5</v>
      </c>
      <c r="X27" s="641">
        <v>6</v>
      </c>
      <c r="Y27" s="641">
        <v>6</v>
      </c>
      <c r="Z27" s="641">
        <v>7</v>
      </c>
      <c r="AA27" s="641">
        <v>7</v>
      </c>
      <c r="AB27" s="641">
        <v>8</v>
      </c>
    </row>
    <row r="28" spans="7:35" ht="23.25" customHeight="1">
      <c r="G28" s="66" t="s">
        <v>551</v>
      </c>
      <c r="H28" s="464" t="s">
        <v>2030</v>
      </c>
      <c r="I28" s="1150"/>
      <c r="J28" s="1150"/>
      <c r="K28" s="1150"/>
      <c r="L28" s="78">
        <f>L27</f>
        <v>0</v>
      </c>
      <c r="M28" s="78">
        <f t="shared" si="0"/>
        <v>1</v>
      </c>
      <c r="N28" s="78">
        <f>N27</f>
        <v>0</v>
      </c>
      <c r="O28" s="78">
        <f t="shared" si="1"/>
        <v>1</v>
      </c>
      <c r="Q28" s="641">
        <v>0.5</v>
      </c>
      <c r="R28" s="641">
        <v>1</v>
      </c>
      <c r="S28" s="641">
        <v>1</v>
      </c>
      <c r="T28" s="641">
        <v>1</v>
      </c>
      <c r="U28" s="641">
        <v>1</v>
      </c>
      <c r="V28" s="641">
        <v>1</v>
      </c>
      <c r="W28" s="641">
        <v>1</v>
      </c>
      <c r="X28" s="641">
        <v>1</v>
      </c>
      <c r="Y28" s="641">
        <v>1</v>
      </c>
      <c r="Z28" s="641">
        <v>2</v>
      </c>
      <c r="AA28" s="641">
        <v>2</v>
      </c>
      <c r="AB28" s="641">
        <v>2</v>
      </c>
    </row>
    <row r="29" spans="7:35" ht="23.25" customHeight="1">
      <c r="G29" s="66" t="s">
        <v>552</v>
      </c>
      <c r="H29" s="464" t="s">
        <v>2032</v>
      </c>
      <c r="I29" s="43" t="s">
        <v>2034</v>
      </c>
      <c r="J29" s="43" t="s">
        <v>2035</v>
      </c>
      <c r="K29" s="43" t="s">
        <v>777</v>
      </c>
      <c r="L29" s="75"/>
      <c r="M29" s="78">
        <f>ROUND(IF(AND($L$29&lt;=10000,L29&gt;0),FORECAST(L29,$Q32:$R32,$Q31:$R31),0)+IF(AND(L29&gt;=10001,L29&lt;=20000),FORECAST(L29,$S32:$T32,$S31:$T31),0)+IF(AND(L29&gt;=20001,L29&lt;=30000),FORECAST(L29,$U32:$V32,$U31:$V31),0)+IF(AND(L29&gt;=30001,L29&lt;=40000),FORECAST(L29,$W32:$X32,$W31:$X31),0)+IF(AND(L29&gt;=40001,L29&lt;=60000),FORECAST(L29,$Y32:$Z32,$Y31:$Z31),0)+IF(AND(L29&gt;=60001,L29&lt;=80000),FORECAST(L29,$AA32:$AB32,$AA31:$AB31),0)+IF(AND(L29&gt;=80001,L29&lt;=120000),FORECAST(L29,$AC32:$AD32,$AC31:$AD31),0)+IF(AND(L29&gt;=120001,L29&lt;=160000),FORECAST(L29,$AE36:$AF36,$AE35:$AF35),0)+IF(AND(L29&gt;=160001,L29&lt;=200000),FORECAST(L29,$AG36:$AH36,$AG35:$AH35),0)+IF(L29&gt;200000,15,0)+IF(L29,0,0),1)</f>
        <v>0</v>
      </c>
      <c r="N29" s="75"/>
      <c r="O29" s="78">
        <f>ROUND(IF(AND($L$29&lt;=10000,N29&gt;0),FORECAST(N29,$Q32:$R32,$Q31:$R31),0)+IF(AND(N29&gt;=10001,N29&lt;=20000),FORECAST(N29,$S32:$T32,$S31:$T31),0)+IF(AND(N29&gt;=20001,N29&lt;=30000),FORECAST(N29,$U32:$V32,$U31:$V31),0)+IF(AND(N29&gt;=30001,N29&lt;=40000),FORECAST(N29,$W32:$X32,$W31:$X31),0)+IF(AND(N29&gt;=40001,N29&lt;=60000),FORECAST(N29,$Y32:$Z32,$Y31:$Z31),0)+IF(AND(N29&gt;=60001,N29&lt;=80000),FORECAST(N29,$AA32:$AB32,$AA31:$AB31),0)+IF(AND(N29&gt;=80001,N29&lt;=120000),FORECAST(N29,$AC32:$AD32,$AC31:$AD31),0)+IF(AND(N29&gt;=120001,N29&lt;=160000),FORECAST(N29,$AE36:$AF36,$AE35:$AF35),0)+IF(AND(N29&gt;=160001,N29&lt;=200000),FORECAST(N29,$AG36:$AH36,$AG35:$AH35),0)+IF(N29&gt;200000,15,0)+IF(N29,0,0),1)</f>
        <v>0</v>
      </c>
      <c r="Q29" s="641">
        <v>0.5</v>
      </c>
      <c r="R29" s="641">
        <v>0.5</v>
      </c>
      <c r="S29" s="641">
        <v>0.5</v>
      </c>
      <c r="T29" s="641">
        <v>0.5</v>
      </c>
      <c r="U29" s="641">
        <v>0.5</v>
      </c>
      <c r="V29" s="641">
        <v>1</v>
      </c>
      <c r="W29" s="641">
        <v>1</v>
      </c>
      <c r="X29" s="641">
        <v>1</v>
      </c>
      <c r="Y29" s="641">
        <v>1</v>
      </c>
      <c r="Z29" s="641">
        <v>2</v>
      </c>
      <c r="AA29" s="641">
        <v>2</v>
      </c>
      <c r="AB29" s="641">
        <v>2</v>
      </c>
    </row>
    <row r="30" spans="7:35" ht="23.25" customHeight="1">
      <c r="G30" s="66" t="s">
        <v>553</v>
      </c>
      <c r="H30" s="464" t="s">
        <v>2036</v>
      </c>
      <c r="I30" s="43" t="s">
        <v>2038</v>
      </c>
      <c r="J30" s="43" t="s">
        <v>2039</v>
      </c>
      <c r="K30" s="43" t="s">
        <v>777</v>
      </c>
      <c r="L30" s="75"/>
      <c r="M30" s="78">
        <f>ROUND(IF($L$30&lt;8,0,0)+IF(AND($L$30&gt;=8,$L$30&lt;=10),FORECAST($L$30,$Q34:$R34,$Q33:$R33),0)+IF(AND($L$30&gt;=11,$L$30&lt;=20),FORECAST($L$30,$S34:$T34,$S33:$T33),0)+IF(AND($L$30&gt;=21,$L$30&lt;=30),FORECAST($L$30,$U34:$V34,$U33:$V33),0)+IF(AND($L$30&gt;=31,$L$30&lt;=40),FORECAST($L$30,$W34:$X34,$W33:$X33),0)+IF(AND($L$30&gt;=41,$L$30&lt;=60),FORECAST($L$30,$Y34:$Z34,$Y33:$Z33),0)+IF(AND($L$30&gt;=61,$L$30&lt;=80),FORECAST($L$30,$AA34:$AB34,$AA33:$AB33))+IF(L30&gt;80,6,0),1)</f>
        <v>0</v>
      </c>
      <c r="N30" s="75">
        <f>L30</f>
        <v>0</v>
      </c>
      <c r="O30" s="78">
        <f>ROUND(IF($L$30&lt;8,0,0)+IF(AND($L$30&gt;=8,$L$30&lt;=10),FORECAST($L$30,$Q34:$R34,$Q33:$R33),0)+IF(AND($L$30&gt;=11,$L$30&lt;=20),FORECAST($L$30,$S34:$T34,$S33:$T33),0)+IF(AND($L$30&gt;=21,$L$30&lt;=30),FORECAST($L$30,$U34:$V34,$U33:$V33),0)+IF(AND($L$30&gt;=31,$L$30&lt;=40),FORECAST($L$30,$W34:$X34,$W33:$X33),0)+IF(AND($L$30&gt;=41,$L$30&lt;=60),FORECAST($L$30,$Y34:$Z34,$Y33:$Z33),0)+IF(AND($L$30&gt;=61,$L$30&lt;=80),FORECAST($L$30,$AA34:$AB34,$AA33:$AB33))+IF(N30&gt;80,6,0),1)</f>
        <v>0</v>
      </c>
      <c r="Q30" s="641">
        <v>1</v>
      </c>
      <c r="R30" s="641">
        <v>1</v>
      </c>
      <c r="S30" s="641">
        <v>1</v>
      </c>
      <c r="T30" s="641">
        <v>2</v>
      </c>
      <c r="U30" s="641">
        <v>2</v>
      </c>
      <c r="V30" s="641">
        <v>2</v>
      </c>
      <c r="W30" s="641">
        <v>2</v>
      </c>
      <c r="X30" s="641">
        <v>3</v>
      </c>
      <c r="Y30" s="641">
        <v>3</v>
      </c>
      <c r="Z30" s="641">
        <v>3</v>
      </c>
      <c r="AA30" s="641">
        <v>3</v>
      </c>
      <c r="AB30" s="641">
        <v>4</v>
      </c>
    </row>
    <row r="31" spans="7:35" ht="11.25" customHeight="1">
      <c r="G31" s="66" t="s">
        <v>554</v>
      </c>
      <c r="H31" s="464" t="s">
        <v>2040</v>
      </c>
      <c r="I31" s="43" t="s">
        <v>2042</v>
      </c>
      <c r="J31" s="43" t="s">
        <v>2043</v>
      </c>
      <c r="K31" s="43" t="s">
        <v>696</v>
      </c>
      <c r="L31" s="78" t="e">
        <f>#REF!</f>
        <v>#REF!</v>
      </c>
      <c r="M31" s="78" t="e">
        <f>ROUND(IF(AND(L31&lt;=3200,L31&gt;0),1,0)+IF(L31&gt;=3201,5,0),1)</f>
        <v>#REF!</v>
      </c>
      <c r="N31" s="78" t="e">
        <f>#REF!</f>
        <v>#REF!</v>
      </c>
      <c r="O31" s="78" t="e">
        <f>ROUND(IF(AND(N31&lt;=3200,N31&gt;0),1,0)+IF(N31&gt;=3201,5,0),1)</f>
        <v>#REF!</v>
      </c>
      <c r="Q31" s="641">
        <v>1</v>
      </c>
      <c r="R31" s="641">
        <v>10000</v>
      </c>
      <c r="S31" s="641">
        <v>10001</v>
      </c>
      <c r="T31" s="641">
        <v>20000</v>
      </c>
      <c r="U31" s="641">
        <v>20001</v>
      </c>
      <c r="V31" s="641">
        <v>30000</v>
      </c>
      <c r="W31" s="641">
        <v>30001</v>
      </c>
      <c r="X31" s="641">
        <v>40000</v>
      </c>
      <c r="Y31" s="641">
        <v>40001</v>
      </c>
      <c r="Z31" s="641">
        <v>60000</v>
      </c>
      <c r="AA31" s="641">
        <v>60001</v>
      </c>
      <c r="AB31" s="641">
        <v>80000</v>
      </c>
      <c r="AC31" s="641">
        <v>80001</v>
      </c>
      <c r="AD31" s="641">
        <v>120000</v>
      </c>
      <c r="AE31" s="641">
        <v>120001</v>
      </c>
      <c r="AF31" s="641">
        <v>160000</v>
      </c>
      <c r="AG31" s="641">
        <v>160001</v>
      </c>
      <c r="AH31" s="641">
        <v>200000</v>
      </c>
    </row>
    <row r="32" spans="7:35" ht="57.75" customHeight="1">
      <c r="G32" s="66" t="s">
        <v>555</v>
      </c>
      <c r="H32" s="464" t="s">
        <v>2044</v>
      </c>
      <c r="I32" s="43" t="s">
        <v>2046</v>
      </c>
      <c r="J32" s="43" t="s">
        <v>2047</v>
      </c>
      <c r="K32" s="43" t="s">
        <v>777</v>
      </c>
      <c r="L32" s="75"/>
      <c r="M32" s="78">
        <f>ROUND(IF(AND(L32&lt;=200,L32&gt;0),1,0)+IF(AND(L32&gt;=201,L32&lt;=400),FORECAST(L32,$Q36:$R36,$Q35:$R35),0)+IF(AND(L32&gt;=401,L32&lt;=600),FORECAST(L32,$S36:$T36,$S35:$T35),0)+IF(AND(L32&gt;=601,L32&lt;=1000),FORECAST(L32,$U36:$V36,$U35:$V35),0)+IF(L32&gt;1000,V36,0),1)</f>
        <v>0</v>
      </c>
      <c r="N32" s="75">
        <f>L32</f>
        <v>0</v>
      </c>
      <c r="O32" s="78">
        <f>ROUND(IF(AND(N32&lt;=200,N32&gt;0),1,0)+IF(AND(N32&gt;=201,N32&lt;=400),FORECAST(N32,$Q36:$R36,$Q35:$R35),0)+IF(AND(N32&gt;=401,N32&lt;=600),FORECAST(N32,$S36:$T36,$S35:$T35),0)+IF(AND(N32&gt;=601,N32&lt;=1000),FORECAST(N32,$U36:$V36,$U35:$V35),0)+IF(N32&gt;1000,X36,0),1)</f>
        <v>0</v>
      </c>
      <c r="Q32" s="641">
        <v>1</v>
      </c>
      <c r="R32" s="641">
        <v>2</v>
      </c>
      <c r="S32" s="641">
        <v>2</v>
      </c>
      <c r="T32" s="641">
        <v>3</v>
      </c>
      <c r="U32" s="641">
        <v>3</v>
      </c>
      <c r="V32" s="641">
        <v>4</v>
      </c>
      <c r="W32" s="641">
        <v>4</v>
      </c>
      <c r="X32" s="641">
        <v>5</v>
      </c>
      <c r="Y32" s="641">
        <v>5</v>
      </c>
      <c r="Z32" s="641">
        <v>7</v>
      </c>
      <c r="AA32" s="641">
        <v>7</v>
      </c>
      <c r="AB32" s="641">
        <v>9</v>
      </c>
      <c r="AC32" s="641">
        <v>9</v>
      </c>
      <c r="AD32" s="641">
        <v>11</v>
      </c>
      <c r="AE32" s="641">
        <v>11</v>
      </c>
      <c r="AF32" s="641">
        <v>13</v>
      </c>
      <c r="AG32" s="641">
        <v>13</v>
      </c>
      <c r="AH32" s="641">
        <v>15</v>
      </c>
    </row>
    <row r="33" spans="7:34" ht="45.75" customHeight="1">
      <c r="G33" s="66" t="s">
        <v>556</v>
      </c>
      <c r="H33" s="464" t="s">
        <v>2048</v>
      </c>
      <c r="I33" s="43" t="s">
        <v>2050</v>
      </c>
      <c r="J33" s="43" t="s">
        <v>2051</v>
      </c>
      <c r="K33" s="43" t="s">
        <v>777</v>
      </c>
      <c r="L33" s="75"/>
      <c r="M33" s="78">
        <f>ROUND(IF(AND(L33&lt;=250,L33&gt;0),FORECAST(L33,$W36:$X36,$W35:$X35),0)+IF(AND(L33&gt;=251,L33&lt;=500),FORECAST(L33,$Y36:$Z36,$Y35:$Z35),0)+IF(AND(L33&gt;=501,L33&lt;=750),FORECAST(L33,$AA36:$AB36,$AA35:$AB35),0)+IF(AND(L33&gt;=751,L33&lt;=1250),FORECAST(L33,$AC36:$AD36,$AC35:$AD35),0)+IF(L33&gt;1250,4,0),1)</f>
        <v>0</v>
      </c>
      <c r="N33" s="75">
        <f>L33</f>
        <v>0</v>
      </c>
      <c r="O33" s="78">
        <f>ROUND(IF(AND(N33&lt;=250,N33&gt;0),FORECAST(N33,$W36:$X36,$W35:$X35),0)+IF(AND(N33&gt;=251,N33&lt;=500),FORECAST(N33,$Y36:$Z36,$Y35:$Z35),0)+IF(AND(N33&gt;=501,N33&lt;=750),FORECAST(N33,$AA36:$AB36,$AA35:$AB35),0)+IF(AND(N33&gt;=751,N33&lt;=1250),FORECAST(N33,$AC36:$AD36,$AC35:$AD35),0)+IF(N33&gt;1250,4,0),1)</f>
        <v>0</v>
      </c>
      <c r="Q33" s="641">
        <v>8</v>
      </c>
      <c r="R33" s="641">
        <v>10</v>
      </c>
      <c r="S33" s="641">
        <v>11</v>
      </c>
      <c r="T33" s="641">
        <v>20</v>
      </c>
      <c r="U33" s="641">
        <v>21</v>
      </c>
      <c r="V33" s="641">
        <v>30</v>
      </c>
      <c r="W33" s="641">
        <v>31</v>
      </c>
      <c r="X33" s="641">
        <v>40</v>
      </c>
      <c r="Y33" s="641">
        <v>41</v>
      </c>
      <c r="Z33" s="641">
        <v>60</v>
      </c>
      <c r="AA33" s="641">
        <v>61</v>
      </c>
      <c r="AB33" s="641">
        <v>80</v>
      </c>
      <c r="AC33" s="641"/>
      <c r="AD33" s="641"/>
      <c r="AE33" s="641"/>
      <c r="AF33" s="641"/>
      <c r="AG33" s="641"/>
      <c r="AH33" s="641"/>
    </row>
    <row r="34" spans="7:34" ht="34.5" customHeight="1">
      <c r="G34" s="98" t="s">
        <v>557</v>
      </c>
      <c r="H34" s="477" t="s">
        <v>2052</v>
      </c>
      <c r="I34" s="465"/>
      <c r="J34" s="465"/>
      <c r="K34" s="465"/>
      <c r="L34" s="165"/>
      <c r="M34" s="166">
        <f>SUM(M35:M36)</f>
        <v>0</v>
      </c>
      <c r="N34" s="165"/>
      <c r="O34" s="166">
        <f>SUM(O35:O36)</f>
        <v>0</v>
      </c>
      <c r="Q34" s="641">
        <v>0.5</v>
      </c>
      <c r="R34" s="641">
        <v>1</v>
      </c>
      <c r="S34" s="641">
        <v>1</v>
      </c>
      <c r="T34" s="641">
        <v>1.5</v>
      </c>
      <c r="U34" s="641">
        <v>1.5</v>
      </c>
      <c r="V34" s="641">
        <v>2</v>
      </c>
      <c r="W34" s="641">
        <v>2</v>
      </c>
      <c r="X34" s="641">
        <v>3</v>
      </c>
      <c r="Y34" s="641">
        <v>3</v>
      </c>
      <c r="Z34" s="641">
        <v>4</v>
      </c>
      <c r="AA34" s="641">
        <v>4</v>
      </c>
      <c r="AB34" s="641">
        <v>6</v>
      </c>
      <c r="AC34" s="641"/>
      <c r="AD34" s="641"/>
      <c r="AE34" s="641"/>
      <c r="AF34" s="641"/>
      <c r="AG34" s="641"/>
      <c r="AH34" s="641"/>
    </row>
    <row r="35" spans="7:34" ht="15.75" hidden="1" customHeight="1">
      <c r="G35" s="236" t="s">
        <v>2090</v>
      </c>
      <c r="Q35" s="642">
        <v>201</v>
      </c>
      <c r="R35" s="642">
        <v>400</v>
      </c>
      <c r="S35" s="642">
        <v>401</v>
      </c>
      <c r="T35" s="642">
        <v>600</v>
      </c>
      <c r="U35" s="642">
        <v>601</v>
      </c>
      <c r="V35" s="642">
        <v>1000</v>
      </c>
      <c r="W35" s="642">
        <v>1</v>
      </c>
      <c r="X35" s="642">
        <v>250</v>
      </c>
      <c r="Y35" s="642">
        <v>251</v>
      </c>
      <c r="Z35" s="642">
        <v>500</v>
      </c>
      <c r="AA35" s="642">
        <v>501</v>
      </c>
      <c r="AB35" s="642">
        <v>750</v>
      </c>
      <c r="AC35" s="642">
        <v>751</v>
      </c>
      <c r="AD35" s="642">
        <v>1250</v>
      </c>
      <c r="AE35" s="641"/>
      <c r="AF35" s="641"/>
      <c r="AG35" s="641"/>
      <c r="AH35" s="641"/>
    </row>
    <row r="36" spans="7:34" ht="11.25" customHeight="1">
      <c r="G36" s="470"/>
      <c r="H36" s="432"/>
      <c r="I36" s="471"/>
      <c r="J36" s="471"/>
      <c r="K36" s="471"/>
      <c r="L36" s="643"/>
      <c r="M36" s="644"/>
      <c r="N36" s="643"/>
      <c r="O36" s="645"/>
      <c r="Q36" s="641">
        <v>1</v>
      </c>
      <c r="R36" s="641">
        <v>2</v>
      </c>
      <c r="S36" s="641">
        <v>2</v>
      </c>
      <c r="T36" s="641">
        <v>3</v>
      </c>
      <c r="U36" s="641">
        <v>3</v>
      </c>
      <c r="V36" s="641">
        <v>4</v>
      </c>
      <c r="W36" s="641">
        <v>0.5</v>
      </c>
      <c r="X36" s="641">
        <v>1</v>
      </c>
      <c r="Y36" s="641">
        <v>1</v>
      </c>
      <c r="Z36" s="641">
        <v>2</v>
      </c>
      <c r="AA36" s="641">
        <v>2</v>
      </c>
      <c r="AB36" s="641">
        <v>3</v>
      </c>
      <c r="AC36" s="641">
        <v>3</v>
      </c>
      <c r="AD36" s="641">
        <v>4</v>
      </c>
      <c r="AE36" s="646"/>
      <c r="AF36" s="647"/>
      <c r="AG36" s="647"/>
      <c r="AH36" s="647"/>
    </row>
    <row r="37" spans="7:34" ht="34.5" customHeight="1">
      <c r="G37" s="66">
        <v>17</v>
      </c>
      <c r="H37" s="464" t="s">
        <v>2056</v>
      </c>
      <c r="I37" s="43" t="s">
        <v>2058</v>
      </c>
      <c r="J37" s="43" t="s">
        <v>2059</v>
      </c>
      <c r="K37" s="43" t="s">
        <v>777</v>
      </c>
      <c r="L37" s="75"/>
      <c r="M37" s="78">
        <f>ROUND(IF(AND(L37&lt;=5000,L37&gt;0),0.5,0)+IF(AND(L37&gt;=5001,L37&lt;=15000),1,0)+IF(L37&gt;15000,2,0),1)</f>
        <v>0</v>
      </c>
      <c r="N37" s="75">
        <f>L37</f>
        <v>0</v>
      </c>
      <c r="O37" s="78">
        <f>ROUND(IF(AND(N37&lt;=5000,N37&gt;0),0.5,0)+IF(AND(N37&gt;=5001,N37&lt;=15000),1,0)+IF(N37&gt;15000,2,0),1)</f>
        <v>0</v>
      </c>
    </row>
    <row r="38" spans="7:34" ht="34.5" customHeight="1">
      <c r="G38" s="66">
        <v>18</v>
      </c>
      <c r="H38" s="464" t="s">
        <v>2060</v>
      </c>
      <c r="I38" s="43" t="s">
        <v>2091</v>
      </c>
      <c r="J38" s="43" t="s">
        <v>2092</v>
      </c>
      <c r="K38" s="43" t="s">
        <v>959</v>
      </c>
      <c r="L38" s="75"/>
      <c r="M38" s="78">
        <f>ROUND(IF(AND(L38&gt;0,L38&lt;=20),1,0)+IF(L38&gt;20,2,0),1)</f>
        <v>0</v>
      </c>
      <c r="N38" s="75">
        <f>L38</f>
        <v>0</v>
      </c>
      <c r="O38" s="78">
        <f>ROUND(IF(AND(N38&gt;0,N38&lt;=20),1,0)+IF(N38&gt;20,2,0),1)</f>
        <v>0</v>
      </c>
    </row>
    <row r="39" spans="7:34" ht="11.25" customHeight="1">
      <c r="G39" s="66">
        <v>19</v>
      </c>
      <c r="H39" s="464" t="s">
        <v>2093</v>
      </c>
      <c r="I39" s="43"/>
      <c r="J39" s="43"/>
      <c r="K39" s="43"/>
      <c r="L39" s="464"/>
      <c r="M39" s="473" t="e">
        <f>SUM(M19:M34)+M37+M38</f>
        <v>#REF!</v>
      </c>
      <c r="N39" s="464"/>
      <c r="O39" s="473" t="e">
        <f>SUM(O19:O34)+O37+O38</f>
        <v>#REF!</v>
      </c>
    </row>
    <row r="40" spans="7:34" ht="22.5" customHeight="1">
      <c r="G40" s="409"/>
      <c r="H40" s="409" t="s">
        <v>2094</v>
      </c>
      <c r="I40" s="409"/>
      <c r="J40" s="409"/>
      <c r="K40" s="409"/>
      <c r="L40" s="409"/>
      <c r="M40" s="409"/>
      <c r="N40" s="409"/>
      <c r="O40" s="409"/>
    </row>
    <row r="41" spans="7:34" ht="11.25" customHeight="1">
      <c r="G41" s="137"/>
      <c r="H41" s="472" t="s">
        <v>2095</v>
      </c>
      <c r="I41" s="478"/>
      <c r="J41" s="478"/>
      <c r="K41" s="478"/>
      <c r="L41" s="139"/>
      <c r="M41" s="75"/>
      <c r="N41" s="478"/>
      <c r="O41" s="75"/>
    </row>
    <row r="42" spans="7:34" ht="45.75" customHeight="1">
      <c r="G42" s="137"/>
      <c r="H42" s="472" t="s">
        <v>2096</v>
      </c>
      <c r="I42" s="478"/>
      <c r="J42" s="478"/>
      <c r="K42" s="478"/>
      <c r="L42" s="478"/>
      <c r="M42" s="75"/>
      <c r="N42" s="478"/>
      <c r="O42" s="75"/>
    </row>
    <row r="43" spans="7:34" ht="11.25" customHeight="1">
      <c r="G43" s="137" t="s">
        <v>528</v>
      </c>
      <c r="H43" s="472" t="s">
        <v>2097</v>
      </c>
      <c r="I43" s="478"/>
      <c r="J43" s="478"/>
      <c r="K43" s="478"/>
      <c r="L43" s="478"/>
      <c r="M43" s="478"/>
      <c r="N43" s="478"/>
      <c r="O43" s="478"/>
    </row>
    <row r="44" spans="7:34" ht="11.25" customHeight="1">
      <c r="G44" s="140" t="s">
        <v>618</v>
      </c>
      <c r="H44" s="464" t="s">
        <v>897</v>
      </c>
      <c r="I44" s="1151"/>
      <c r="J44" s="1151" t="s">
        <v>2063</v>
      </c>
      <c r="K44" s="1151" t="s">
        <v>766</v>
      </c>
      <c r="L44" s="473" t="e">
        <f>#REF!</f>
        <v>#REF!</v>
      </c>
      <c r="M44" s="473" t="e">
        <f>IF(L44=0,0,L44/100*1.02)*M$41</f>
        <v>#REF!</v>
      </c>
      <c r="N44" s="75" t="e">
        <f>L44</f>
        <v>#REF!</v>
      </c>
      <c r="O44" s="473" t="e">
        <f>IF(N44=0,0,N44/100*1.02)*O$41</f>
        <v>#REF!</v>
      </c>
    </row>
    <row r="45" spans="7:34" ht="11.25" customHeight="1">
      <c r="G45" s="140" t="s">
        <v>622</v>
      </c>
      <c r="H45" s="464" t="s">
        <v>2098</v>
      </c>
      <c r="I45" s="1152"/>
      <c r="J45" s="1152"/>
      <c r="K45" s="1152"/>
      <c r="L45" s="473" t="e">
        <f>#REF!</f>
        <v>#REF!</v>
      </c>
      <c r="M45" s="473" t="e">
        <f>IF(L45=0,0,L45/100*0.64)*M$41</f>
        <v>#REF!</v>
      </c>
      <c r="N45" s="75" t="e">
        <f>L45</f>
        <v>#REF!</v>
      </c>
      <c r="O45" s="473" t="e">
        <f>IF(N45=0,0,N45/100*0.64)*O$41</f>
        <v>#REF!</v>
      </c>
    </row>
    <row r="46" spans="7:34" ht="11.25" customHeight="1">
      <c r="G46" s="140" t="s">
        <v>625</v>
      </c>
      <c r="H46" s="464" t="s">
        <v>2064</v>
      </c>
      <c r="I46" s="1152"/>
      <c r="J46" s="1152"/>
      <c r="K46" s="1152"/>
      <c r="L46" s="75"/>
      <c r="M46" s="473">
        <f>IF(L46=0,0,L46/100*1.02)*M$41</f>
        <v>0</v>
      </c>
      <c r="N46" s="75">
        <f>L46</f>
        <v>0</v>
      </c>
      <c r="O46" s="473">
        <f>IF(N46=0,0,N46/100*1.02)*O$41</f>
        <v>0</v>
      </c>
    </row>
    <row r="47" spans="7:34" ht="11.25" customHeight="1">
      <c r="G47" s="140" t="s">
        <v>628</v>
      </c>
      <c r="H47" s="464" t="s">
        <v>73</v>
      </c>
      <c r="I47" s="1153"/>
      <c r="J47" s="1153"/>
      <c r="K47" s="1153"/>
      <c r="L47" s="473" t="e">
        <f>#REF!</f>
        <v>#REF!</v>
      </c>
      <c r="M47" s="473" t="e">
        <f>IF(L47=0,0,L47/100*1.28)*M$41</f>
        <v>#REF!</v>
      </c>
      <c r="N47" s="75" t="e">
        <f>L47</f>
        <v>#REF!</v>
      </c>
      <c r="O47" s="473" t="e">
        <f>IF(N47=0,0,N47/100*1.28)*O$41</f>
        <v>#REF!</v>
      </c>
    </row>
    <row r="48" spans="7:34" ht="11.25" customHeight="1">
      <c r="G48" s="137" t="s">
        <v>530</v>
      </c>
      <c r="H48" s="472" t="s">
        <v>2099</v>
      </c>
      <c r="I48" s="478"/>
      <c r="J48" s="478"/>
      <c r="K48" s="478"/>
      <c r="L48" s="478"/>
      <c r="M48" s="478"/>
      <c r="N48" s="478"/>
      <c r="O48" s="478"/>
    </row>
    <row r="49" spans="7:15" ht="11.25" customHeight="1">
      <c r="G49" s="140" t="s">
        <v>632</v>
      </c>
      <c r="H49" s="464" t="s">
        <v>897</v>
      </c>
      <c r="I49" s="1151"/>
      <c r="J49" s="1151" t="s">
        <v>2063</v>
      </c>
      <c r="K49" s="1151" t="s">
        <v>766</v>
      </c>
      <c r="L49" s="473" t="e">
        <f>#REF!</f>
        <v>#REF!</v>
      </c>
      <c r="M49" s="473" t="e">
        <f>IF(L49=0,0,L49/100*1.42)*M$41</f>
        <v>#REF!</v>
      </c>
      <c r="N49" s="75" t="e">
        <f>L49</f>
        <v>#REF!</v>
      </c>
      <c r="O49" s="473" t="e">
        <f>IF(N49=0,0,N49/100*1.42)*O$41</f>
        <v>#REF!</v>
      </c>
    </row>
    <row r="50" spans="7:15" ht="11.25" customHeight="1">
      <c r="G50" s="140" t="s">
        <v>762</v>
      </c>
      <c r="H50" s="464" t="s">
        <v>2098</v>
      </c>
      <c r="I50" s="1153"/>
      <c r="J50" s="1153"/>
      <c r="K50" s="1153"/>
      <c r="L50" s="473" t="e">
        <f>#REF!</f>
        <v>#REF!</v>
      </c>
      <c r="M50" s="473" t="e">
        <f>IF(L50=0,0,L50/100*0.84)*M$41</f>
        <v>#REF!</v>
      </c>
      <c r="N50" s="75" t="e">
        <f>L50</f>
        <v>#REF!</v>
      </c>
      <c r="O50" s="473" t="e">
        <f>IF(N50=0,0,N50/100*0.84)*O$41</f>
        <v>#REF!</v>
      </c>
    </row>
    <row r="51" spans="7:15" ht="11.25" customHeight="1">
      <c r="G51" s="137" t="s">
        <v>532</v>
      </c>
      <c r="H51" s="472" t="s">
        <v>2100</v>
      </c>
      <c r="I51" s="478"/>
      <c r="J51" s="478"/>
      <c r="K51" s="478"/>
      <c r="L51" s="478"/>
      <c r="M51" s="478"/>
      <c r="N51" s="478"/>
      <c r="O51" s="478"/>
    </row>
    <row r="52" spans="7:15" ht="11.25" customHeight="1">
      <c r="G52" s="140" t="s">
        <v>637</v>
      </c>
      <c r="H52" s="464" t="s">
        <v>897</v>
      </c>
      <c r="I52" s="1151"/>
      <c r="J52" s="1151" t="s">
        <v>2063</v>
      </c>
      <c r="K52" s="1151" t="s">
        <v>766</v>
      </c>
      <c r="L52" s="473" t="e">
        <f>#REF!</f>
        <v>#REF!</v>
      </c>
      <c r="M52" s="473" t="e">
        <f>IF(L52=0,0,L52/100*1.23)*M$41</f>
        <v>#REF!</v>
      </c>
      <c r="N52" s="75" t="e">
        <f>L52</f>
        <v>#REF!</v>
      </c>
      <c r="O52" s="473" t="e">
        <f>IF(N52=0,0,N52/100*1.23)*O$41</f>
        <v>#REF!</v>
      </c>
    </row>
    <row r="53" spans="7:15" ht="11.25" customHeight="1">
      <c r="G53" s="140" t="s">
        <v>642</v>
      </c>
      <c r="H53" s="464" t="s">
        <v>2098</v>
      </c>
      <c r="I53" s="1152"/>
      <c r="J53" s="1152"/>
      <c r="K53" s="1152"/>
      <c r="L53" s="473" t="e">
        <f>#REF!</f>
        <v>#REF!</v>
      </c>
      <c r="M53" s="473" t="e">
        <f>IF(L53=0,0,L53/100*0.64)*M$41</f>
        <v>#REF!</v>
      </c>
      <c r="N53" s="75" t="e">
        <f>L53</f>
        <v>#REF!</v>
      </c>
      <c r="O53" s="473" t="e">
        <f>IF(N53=0,0,N53/100*0.64)*O$41</f>
        <v>#REF!</v>
      </c>
    </row>
    <row r="54" spans="7:15" ht="11.25" customHeight="1">
      <c r="G54" s="140" t="s">
        <v>647</v>
      </c>
      <c r="H54" s="464" t="s">
        <v>2064</v>
      </c>
      <c r="I54" s="1152"/>
      <c r="J54" s="1152"/>
      <c r="K54" s="1152"/>
      <c r="L54" s="75"/>
      <c r="M54" s="473">
        <f>IF(L54=0,0,L54/100*1.09)*M$41</f>
        <v>0</v>
      </c>
      <c r="N54" s="75">
        <f>L54</f>
        <v>0</v>
      </c>
      <c r="O54" s="473">
        <f>IF(N54=0,0,N54/100*1.09)*O$41</f>
        <v>0</v>
      </c>
    </row>
    <row r="55" spans="7:15" ht="11.25" customHeight="1">
      <c r="G55" s="140" t="s">
        <v>652</v>
      </c>
      <c r="H55" s="464" t="s">
        <v>73</v>
      </c>
      <c r="I55" s="1153"/>
      <c r="J55" s="1153"/>
      <c r="K55" s="1153"/>
      <c r="L55" s="473" t="e">
        <f>#REF!</f>
        <v>#REF!</v>
      </c>
      <c r="M55" s="473" t="e">
        <f>IF(L55=0,0,L55/100*1.28)*M$41</f>
        <v>#REF!</v>
      </c>
      <c r="N55" s="75" t="e">
        <f>L55</f>
        <v>#REF!</v>
      </c>
      <c r="O55" s="473" t="e">
        <f>IF(N55=0,0,N55/100*1.28)*O$41</f>
        <v>#REF!</v>
      </c>
    </row>
    <row r="56" spans="7:15" ht="11.25" customHeight="1">
      <c r="G56" s="137" t="s">
        <v>534</v>
      </c>
      <c r="H56" s="472" t="s">
        <v>2101</v>
      </c>
      <c r="I56" s="478"/>
      <c r="J56" s="478"/>
      <c r="K56" s="478"/>
      <c r="L56" s="478"/>
      <c r="M56" s="478"/>
      <c r="N56" s="478"/>
      <c r="O56" s="478"/>
    </row>
    <row r="57" spans="7:15" ht="11.25" customHeight="1">
      <c r="G57" s="140" t="s">
        <v>665</v>
      </c>
      <c r="H57" s="464" t="s">
        <v>897</v>
      </c>
      <c r="I57" s="1151"/>
      <c r="J57" s="1151" t="s">
        <v>2063</v>
      </c>
      <c r="K57" s="1151" t="s">
        <v>766</v>
      </c>
      <c r="L57" s="473" t="e">
        <f>#REF!</f>
        <v>#REF!</v>
      </c>
      <c r="M57" s="473" t="e">
        <f>IF(L57=0,0,L57/100*1.47)*M$41</f>
        <v>#REF!</v>
      </c>
      <c r="N57" s="75"/>
      <c r="O57" s="473">
        <f>IF(N57=0,0,N57/100*1.47)*O$41</f>
        <v>0</v>
      </c>
    </row>
    <row r="58" spans="7:15" ht="11.25" customHeight="1">
      <c r="G58" s="140" t="s">
        <v>679</v>
      </c>
      <c r="H58" s="464" t="s">
        <v>2098</v>
      </c>
      <c r="I58" s="1153"/>
      <c r="J58" s="1153"/>
      <c r="K58" s="1153"/>
      <c r="L58" s="473" t="e">
        <f>#REF!</f>
        <v>#REF!</v>
      </c>
      <c r="M58" s="473" t="e">
        <f>IF(L58=0,0,L58/100*0.84)*M$41</f>
        <v>#REF!</v>
      </c>
      <c r="N58" s="75"/>
      <c r="O58" s="473">
        <f>IF(N58=0,0,N58/100*0.84)*O$41</f>
        <v>0</v>
      </c>
    </row>
    <row r="59" spans="7:15" ht="11.25" customHeight="1">
      <c r="G59" s="137" t="s">
        <v>536</v>
      </c>
      <c r="H59" s="472" t="s">
        <v>2102</v>
      </c>
      <c r="I59" s="478"/>
      <c r="J59" s="478"/>
      <c r="K59" s="478"/>
      <c r="L59" s="478"/>
      <c r="M59" s="478"/>
      <c r="N59" s="478"/>
      <c r="O59" s="478"/>
    </row>
    <row r="60" spans="7:15" ht="11.25" customHeight="1">
      <c r="G60" s="140" t="s">
        <v>705</v>
      </c>
      <c r="H60" s="464" t="s">
        <v>897</v>
      </c>
      <c r="I60" s="1151"/>
      <c r="J60" s="1151" t="s">
        <v>2063</v>
      </c>
      <c r="K60" s="1151" t="s">
        <v>766</v>
      </c>
      <c r="L60" s="473" t="e">
        <f>#REF!</f>
        <v>#REF!</v>
      </c>
      <c r="M60" s="473" t="e">
        <f>IF(L60=0,0,L60/100*1.28)*M$41</f>
        <v>#REF!</v>
      </c>
      <c r="N60" s="75"/>
      <c r="O60" s="473">
        <f>IF(N60=0,0,N60/100*1.28)*O$41</f>
        <v>0</v>
      </c>
    </row>
    <row r="61" spans="7:15" ht="11.25" customHeight="1">
      <c r="G61" s="140" t="s">
        <v>709</v>
      </c>
      <c r="H61" s="464" t="s">
        <v>2098</v>
      </c>
      <c r="I61" s="1152"/>
      <c r="J61" s="1152"/>
      <c r="K61" s="1152"/>
      <c r="L61" s="473" t="e">
        <f>#REF!</f>
        <v>#REF!</v>
      </c>
      <c r="M61" s="473" t="e">
        <f>IF(L61=0,0,L61/100*0.77)*M$41</f>
        <v>#REF!</v>
      </c>
      <c r="N61" s="75" t="e">
        <f>L61</f>
        <v>#REF!</v>
      </c>
      <c r="O61" s="473" t="e">
        <f>IF(N61=0,0,N61/100*0.77)*O$41</f>
        <v>#REF!</v>
      </c>
    </row>
    <row r="62" spans="7:15" ht="11.25" customHeight="1">
      <c r="G62" s="140" t="s">
        <v>713</v>
      </c>
      <c r="H62" s="464" t="s">
        <v>2064</v>
      </c>
      <c r="I62" s="1152"/>
      <c r="J62" s="1152"/>
      <c r="K62" s="1152"/>
      <c r="L62" s="75"/>
      <c r="M62" s="473">
        <f>IF(L62=0,0,L62/100*1.35)*M$41</f>
        <v>0</v>
      </c>
      <c r="N62" s="75">
        <f>L62</f>
        <v>0</v>
      </c>
      <c r="O62" s="473">
        <f>IF(N62=0,0,N62/100*1.35)*O$41</f>
        <v>0</v>
      </c>
    </row>
    <row r="63" spans="7:15" ht="11.25" customHeight="1">
      <c r="G63" s="140" t="s">
        <v>2103</v>
      </c>
      <c r="H63" s="464" t="s">
        <v>73</v>
      </c>
      <c r="I63" s="1153"/>
      <c r="J63" s="1153"/>
      <c r="K63" s="1153"/>
      <c r="L63" s="473" t="e">
        <f>#REF!</f>
        <v>#REF!</v>
      </c>
      <c r="M63" s="473" t="e">
        <f>IF(L63=0,0,L63/100*1.67)*M$41</f>
        <v>#REF!</v>
      </c>
      <c r="N63" s="75" t="e">
        <f>L63</f>
        <v>#REF!</v>
      </c>
      <c r="O63" s="473" t="e">
        <f>IF(N63=0,0,N63/100*1.67)*O$41</f>
        <v>#REF!</v>
      </c>
    </row>
    <row r="64" spans="7:15" ht="11.25" customHeight="1">
      <c r="G64" s="137" t="s">
        <v>541</v>
      </c>
      <c r="H64" s="472" t="s">
        <v>2104</v>
      </c>
      <c r="I64" s="478"/>
      <c r="J64" s="478"/>
      <c r="K64" s="478"/>
      <c r="L64" s="478"/>
      <c r="M64" s="478"/>
      <c r="N64" s="478"/>
      <c r="O64" s="478"/>
    </row>
    <row r="65" spans="7:15" ht="11.25" customHeight="1">
      <c r="G65" s="140" t="s">
        <v>917</v>
      </c>
      <c r="H65" s="464" t="s">
        <v>897</v>
      </c>
      <c r="I65" s="1151"/>
      <c r="J65" s="1151" t="s">
        <v>2063</v>
      </c>
      <c r="K65" s="1151" t="s">
        <v>766</v>
      </c>
      <c r="L65" s="473" t="e">
        <f>#REF!</f>
        <v>#REF!</v>
      </c>
      <c r="M65" s="473" t="e">
        <f>IF(L65=0,0,L65/100*1.67)*M$41</f>
        <v>#REF!</v>
      </c>
      <c r="N65" s="75" t="e">
        <f>L65</f>
        <v>#REF!</v>
      </c>
      <c r="O65" s="473" t="e">
        <f>IF(N65=0,0,N65/100*1.67)*O$41</f>
        <v>#REF!</v>
      </c>
    </row>
    <row r="66" spans="7:15" ht="11.25" customHeight="1">
      <c r="G66" s="140" t="s">
        <v>923</v>
      </c>
      <c r="H66" s="464" t="s">
        <v>2098</v>
      </c>
      <c r="I66" s="1153"/>
      <c r="J66" s="1153"/>
      <c r="K66" s="1153"/>
      <c r="L66" s="473" t="e">
        <f>#REF!</f>
        <v>#REF!</v>
      </c>
      <c r="M66" s="473" t="e">
        <f>IF(L66=0,0,L66/100*1.35)*M$41</f>
        <v>#REF!</v>
      </c>
      <c r="N66" s="75" t="e">
        <f>L66</f>
        <v>#REF!</v>
      </c>
      <c r="O66" s="473" t="e">
        <f>IF(N66=0,0,N66/100*1.35)*O$41</f>
        <v>#REF!</v>
      </c>
    </row>
    <row r="67" spans="7:15" ht="11.25" customHeight="1">
      <c r="G67" s="137" t="s">
        <v>543</v>
      </c>
      <c r="H67" s="472" t="s">
        <v>2105</v>
      </c>
      <c r="I67" s="478"/>
      <c r="J67" s="478"/>
      <c r="K67" s="478"/>
      <c r="L67" s="478"/>
      <c r="M67" s="478"/>
      <c r="N67" s="478"/>
      <c r="O67" s="478"/>
    </row>
    <row r="68" spans="7:15" ht="11.25" customHeight="1">
      <c r="G68" s="140" t="s">
        <v>1277</v>
      </c>
      <c r="H68" s="464" t="s">
        <v>897</v>
      </c>
      <c r="I68" s="1151" t="s">
        <v>935</v>
      </c>
      <c r="J68" s="1151" t="s">
        <v>2063</v>
      </c>
      <c r="K68" s="1151" t="s">
        <v>766</v>
      </c>
      <c r="L68" s="75"/>
      <c r="M68" s="473">
        <f>IF(L68=0,0,L68/100*(0.81*M$41+0.47*M$41*M$42))</f>
        <v>0</v>
      </c>
      <c r="N68" s="75">
        <f>L68</f>
        <v>0</v>
      </c>
      <c r="O68" s="473">
        <f>IF(N68=0,0,N68/100*(0.81*O$41+0.47*O$41*O$42))</f>
        <v>0</v>
      </c>
    </row>
    <row r="69" spans="7:15" ht="11.25" customHeight="1">
      <c r="G69" s="140" t="s">
        <v>2106</v>
      </c>
      <c r="H69" s="464" t="s">
        <v>2098</v>
      </c>
      <c r="I69" s="1152"/>
      <c r="J69" s="1152"/>
      <c r="K69" s="1152"/>
      <c r="L69" s="75"/>
      <c r="M69" s="473">
        <f>IF(L69=0,0,L69/100*(0.81*M$41+0.47*M$41*M$42))</f>
        <v>0</v>
      </c>
      <c r="N69" s="75">
        <f>L69</f>
        <v>0</v>
      </c>
      <c r="O69" s="473">
        <f>IF(N69=0,0,N69/100*(0.81*O$41+0.47*O$41*O$42))</f>
        <v>0</v>
      </c>
    </row>
    <row r="70" spans="7:15" ht="11.25" customHeight="1">
      <c r="G70" s="140" t="s">
        <v>2107</v>
      </c>
      <c r="H70" s="464" t="s">
        <v>2064</v>
      </c>
      <c r="I70" s="1152"/>
      <c r="J70" s="1152"/>
      <c r="K70" s="1152"/>
      <c r="L70" s="473" t="e">
        <f>#REF!</f>
        <v>#REF!</v>
      </c>
      <c r="M70" s="473" t="e">
        <f>IF(L70=0,0,L70/100*(0.58*M$41*M$42+0.88*M$41))</f>
        <v>#REF!</v>
      </c>
      <c r="N70" s="75" t="e">
        <f>L70</f>
        <v>#REF!</v>
      </c>
      <c r="O70" s="473" t="e">
        <f>IF(N70=0,0,N70/100*(0.58*O$41*O$42+0.88*O$41))</f>
        <v>#REF!</v>
      </c>
    </row>
    <row r="71" spans="7:15" ht="11.25" customHeight="1">
      <c r="G71" s="140" t="s">
        <v>2108</v>
      </c>
      <c r="H71" s="464" t="s">
        <v>73</v>
      </c>
      <c r="I71" s="1153"/>
      <c r="J71" s="1153"/>
      <c r="K71" s="1153"/>
      <c r="L71" s="473" t="e">
        <f>#REF!</f>
        <v>#REF!</v>
      </c>
      <c r="M71" s="473" t="e">
        <f>IF(L71=0,0,L71/100*(0.68*M$41*M$42+0.89*M$41))</f>
        <v>#REF!</v>
      </c>
      <c r="N71" s="75" t="e">
        <f>L71</f>
        <v>#REF!</v>
      </c>
      <c r="O71" s="473" t="e">
        <f>IF(N71=0,0,N71/100*(0.68*O$41*O$42+0.89*O$41))</f>
        <v>#REF!</v>
      </c>
    </row>
    <row r="72" spans="7:15" ht="11.25" customHeight="1">
      <c r="G72" s="137" t="s">
        <v>548</v>
      </c>
      <c r="H72" s="472" t="s">
        <v>2109</v>
      </c>
      <c r="I72" s="478"/>
      <c r="J72" s="478"/>
      <c r="K72" s="478"/>
      <c r="L72" s="478"/>
      <c r="M72" s="478"/>
      <c r="N72" s="478"/>
      <c r="O72" s="478"/>
    </row>
    <row r="73" spans="7:15" ht="11.25" customHeight="1">
      <c r="G73" s="140" t="s">
        <v>924</v>
      </c>
      <c r="H73" s="464" t="s">
        <v>897</v>
      </c>
      <c r="I73" s="1151" t="s">
        <v>935</v>
      </c>
      <c r="J73" s="1151" t="s">
        <v>2063</v>
      </c>
      <c r="K73" s="1151" t="s">
        <v>766</v>
      </c>
      <c r="L73" s="75"/>
      <c r="M73" s="473">
        <f>IF(L73=0,0,L73/100*(0.51*M$41*M$42+0.91*M$41))</f>
        <v>0</v>
      </c>
      <c r="N73" s="75">
        <f t="shared" ref="N73:N88" si="2">L73</f>
        <v>0</v>
      </c>
      <c r="O73" s="473">
        <f>IF(N73=0,0,N73/100*(0.51*O$41*O$42+0.91*O$41))</f>
        <v>0</v>
      </c>
    </row>
    <row r="74" spans="7:15" ht="11.25" customHeight="1">
      <c r="G74" s="140" t="s">
        <v>925</v>
      </c>
      <c r="H74" s="464" t="s">
        <v>2098</v>
      </c>
      <c r="I74" s="1152"/>
      <c r="J74" s="1152"/>
      <c r="K74" s="1152"/>
      <c r="L74" s="75"/>
      <c r="M74" s="473">
        <f>IF(L74=0,0,L74/100*(0.51*M$41*M$42+0.91*M$41))</f>
        <v>0</v>
      </c>
      <c r="N74" s="75">
        <f t="shared" si="2"/>
        <v>0</v>
      </c>
      <c r="O74" s="473">
        <f>IF(N74=0,0,N74/100*(0.51*O$41*O$42+0.91*O$41))</f>
        <v>0</v>
      </c>
    </row>
    <row r="75" spans="7:15" ht="11.25" customHeight="1">
      <c r="G75" s="140" t="s">
        <v>2110</v>
      </c>
      <c r="H75" s="464" t="s">
        <v>2064</v>
      </c>
      <c r="I75" s="1152"/>
      <c r="J75" s="1152"/>
      <c r="K75" s="1152"/>
      <c r="L75" s="473" t="e">
        <f>#REF!</f>
        <v>#REF!</v>
      </c>
      <c r="M75" s="473" t="e">
        <f>IF(L75=0,0,L75/100*(0.79*M$41*M$42+1.02*M$41))</f>
        <v>#REF!</v>
      </c>
      <c r="N75" s="75" t="e">
        <f t="shared" si="2"/>
        <v>#REF!</v>
      </c>
      <c r="O75" s="473" t="e">
        <f>IF(N75=0,0,N75/100*(0.79*O$41*O$42+1.02*O$41))</f>
        <v>#REF!</v>
      </c>
    </row>
    <row r="76" spans="7:15" ht="11.25" customHeight="1">
      <c r="G76" s="140" t="s">
        <v>2111</v>
      </c>
      <c r="H76" s="464" t="s">
        <v>73</v>
      </c>
      <c r="I76" s="1153"/>
      <c r="J76" s="1153"/>
      <c r="K76" s="1153"/>
      <c r="L76" s="473" t="e">
        <f>#REF!</f>
        <v>#REF!</v>
      </c>
      <c r="M76" s="473" t="e">
        <f>IF(L76=0,0,L76/100*(0.89*M$41*M$42+1.05*M$41))</f>
        <v>#REF!</v>
      </c>
      <c r="N76" s="75" t="e">
        <f t="shared" si="2"/>
        <v>#REF!</v>
      </c>
      <c r="O76" s="473" t="e">
        <f>IF(N76=0,0,N76/100*(0.89*O$41*O$42+1.05*O$41))</f>
        <v>#REF!</v>
      </c>
    </row>
    <row r="77" spans="7:15" ht="11.25" customHeight="1">
      <c r="G77" s="137" t="s">
        <v>550</v>
      </c>
      <c r="H77" s="472" t="s">
        <v>2112</v>
      </c>
      <c r="I77" s="1146" t="s">
        <v>2113</v>
      </c>
      <c r="J77" s="1146" t="s">
        <v>2063</v>
      </c>
      <c r="K77" s="1146" t="s">
        <v>766</v>
      </c>
      <c r="L77" s="473" t="e">
        <f>#REF!</f>
        <v>#REF!</v>
      </c>
      <c r="M77" s="473" t="e">
        <f>IF(L77=0,0,L77/100*(0.31+2.32)*M$42*M$41)</f>
        <v>#REF!</v>
      </c>
      <c r="N77" s="75" t="e">
        <f t="shared" si="2"/>
        <v>#REF!</v>
      </c>
      <c r="O77" s="473" t="e">
        <f>IF(N77=0,0,N77/100*(0.31+2.32)*O$42*O$41)</f>
        <v>#REF!</v>
      </c>
    </row>
    <row r="78" spans="7:15" ht="11.25" customHeight="1">
      <c r="G78" s="137" t="s">
        <v>551</v>
      </c>
      <c r="H78" s="472" t="s">
        <v>2114</v>
      </c>
      <c r="I78" s="1147"/>
      <c r="J78" s="1149"/>
      <c r="K78" s="1149"/>
      <c r="L78" s="473" t="e">
        <f>#REF!</f>
        <v>#REF!</v>
      </c>
      <c r="M78" s="473" t="e">
        <f>IF(L78=0,0,L78/100*(0.49+3.62)*M$42*M$41)</f>
        <v>#REF!</v>
      </c>
      <c r="N78" s="75" t="e">
        <f t="shared" si="2"/>
        <v>#REF!</v>
      </c>
      <c r="O78" s="473" t="e">
        <f>IF(N78=0,0,N78/100*(0.49+3.62)*O$42*O$41)</f>
        <v>#REF!</v>
      </c>
    </row>
    <row r="79" spans="7:15" ht="11.25" customHeight="1">
      <c r="G79" s="137" t="s">
        <v>552</v>
      </c>
      <c r="H79" s="472" t="s">
        <v>2082</v>
      </c>
      <c r="I79" s="466"/>
      <c r="J79" s="1149"/>
      <c r="K79" s="1149"/>
      <c r="L79" s="473" t="e">
        <f>#REF!</f>
        <v>#REF!</v>
      </c>
      <c r="M79" s="473" t="e">
        <f>IF(L79=0,0,L79/100*(0.55+3.92)*M$42*M$41)</f>
        <v>#REF!</v>
      </c>
      <c r="N79" s="75" t="e">
        <f t="shared" si="2"/>
        <v>#REF!</v>
      </c>
      <c r="O79" s="473" t="e">
        <f>IF(N79=0,0,N79/100*(0.55+3.92)*O$42*O$41)</f>
        <v>#REF!</v>
      </c>
    </row>
    <row r="80" spans="7:15" ht="11.25" customHeight="1">
      <c r="G80" s="137" t="s">
        <v>553</v>
      </c>
      <c r="H80" s="472" t="s">
        <v>2083</v>
      </c>
      <c r="I80" s="466"/>
      <c r="J80" s="1149"/>
      <c r="K80" s="1149"/>
      <c r="L80" s="473" t="e">
        <f>#REF!</f>
        <v>#REF!</v>
      </c>
      <c r="M80" s="473" t="e">
        <f>IF(L80=0,0,L80/100*(2.5+18.47)*M$42*M$41)</f>
        <v>#REF!</v>
      </c>
      <c r="N80" s="75" t="e">
        <f t="shared" si="2"/>
        <v>#REF!</v>
      </c>
      <c r="O80" s="473" t="e">
        <f>IF(N80=0,0,N80/100*(2.5+18.47)*O$42*O$41)</f>
        <v>#REF!</v>
      </c>
    </row>
    <row r="81" spans="7:15" ht="11.25" customHeight="1">
      <c r="G81" s="137" t="s">
        <v>554</v>
      </c>
      <c r="H81" s="472" t="s">
        <v>2084</v>
      </c>
      <c r="I81" s="466"/>
      <c r="J81" s="1147"/>
      <c r="K81" s="1147"/>
      <c r="L81" s="473" t="e">
        <f>#REF!</f>
        <v>#REF!</v>
      </c>
      <c r="M81" s="473" t="e">
        <f>IF(L81=0,0,L81/100*(3.2+23.31)*M$42*M$41)</f>
        <v>#REF!</v>
      </c>
      <c r="N81" s="75" t="e">
        <f t="shared" si="2"/>
        <v>#REF!</v>
      </c>
      <c r="O81" s="473" t="e">
        <f>IF(N81=0,0,N81/100*(3.2+23.31)*O$42*O$41)</f>
        <v>#REF!</v>
      </c>
    </row>
    <row r="82" spans="7:15" ht="11.25" customHeight="1">
      <c r="G82" s="66" t="s">
        <v>555</v>
      </c>
      <c r="H82" s="464" t="s">
        <v>2066</v>
      </c>
      <c r="I82" s="465" t="s">
        <v>2067</v>
      </c>
      <c r="J82" s="1146" t="s">
        <v>2014</v>
      </c>
      <c r="K82" s="43" t="s">
        <v>2065</v>
      </c>
      <c r="L82" s="75"/>
      <c r="M82" s="473">
        <f>IF(L82=0,0,L82/1000*2)</f>
        <v>0</v>
      </c>
      <c r="N82" s="75">
        <f t="shared" si="2"/>
        <v>0</v>
      </c>
      <c r="O82" s="473">
        <f>IF(N82=0,0,N82/1000*2)</f>
        <v>0</v>
      </c>
    </row>
    <row r="83" spans="7:15" ht="11.25" customHeight="1">
      <c r="G83" s="66" t="s">
        <v>556</v>
      </c>
      <c r="H83" s="464" t="s">
        <v>2068</v>
      </c>
      <c r="I83" s="1146" t="s">
        <v>2069</v>
      </c>
      <c r="J83" s="1149"/>
      <c r="K83" s="43" t="s">
        <v>2065</v>
      </c>
      <c r="L83" s="75" t="e">
        <f>#REF!</f>
        <v>#REF!</v>
      </c>
      <c r="M83" s="473" t="e">
        <f>IF(L83=0,0,L83/100*(0.82+1.78)*M$41)</f>
        <v>#REF!</v>
      </c>
      <c r="N83" s="75" t="e">
        <f t="shared" si="2"/>
        <v>#REF!</v>
      </c>
      <c r="O83" s="473" t="e">
        <f>IF(N83=0,0,N83/100*(0.82+1.78)*O$41)</f>
        <v>#REF!</v>
      </c>
    </row>
    <row r="84" spans="7:15" ht="34.5" customHeight="1">
      <c r="G84" s="66" t="s">
        <v>557</v>
      </c>
      <c r="H84" s="464" t="s">
        <v>2070</v>
      </c>
      <c r="I84" s="1149"/>
      <c r="J84" s="1149"/>
      <c r="K84" s="43" t="s">
        <v>2065</v>
      </c>
      <c r="L84" s="75" t="e">
        <f>#REF!</f>
        <v>#REF!</v>
      </c>
      <c r="M84" s="473" t="e">
        <f>IF(L84=0,0,L84/100*(0.76+1.69)*M$41)</f>
        <v>#REF!</v>
      </c>
      <c r="N84" s="75" t="e">
        <f t="shared" si="2"/>
        <v>#REF!</v>
      </c>
      <c r="O84" s="473" t="e">
        <f>IF(N84=0,0,N84/100*(0.76+1.69)*O$41)</f>
        <v>#REF!</v>
      </c>
    </row>
    <row r="85" spans="7:15" ht="34.5" customHeight="1">
      <c r="G85" s="66" t="s">
        <v>558</v>
      </c>
      <c r="H85" s="464" t="s">
        <v>2071</v>
      </c>
      <c r="I85" s="1147"/>
      <c r="J85" s="1149"/>
      <c r="K85" s="43" t="s">
        <v>2065</v>
      </c>
      <c r="L85" s="75" t="e">
        <f>#REF!</f>
        <v>#REF!</v>
      </c>
      <c r="M85" s="473" t="e">
        <f>IF(L85=0,0,L85/100*(0.99+1.74)*M$41)</f>
        <v>#REF!</v>
      </c>
      <c r="N85" s="75" t="e">
        <f t="shared" si="2"/>
        <v>#REF!</v>
      </c>
      <c r="O85" s="473" t="e">
        <f>IF(N85=0,0,N85/100*(0.99+1.74)*O$41)</f>
        <v>#REF!</v>
      </c>
    </row>
    <row r="86" spans="7:15" ht="11.25" customHeight="1">
      <c r="G86" s="66" t="s">
        <v>559</v>
      </c>
      <c r="H86" s="464" t="s">
        <v>2115</v>
      </c>
      <c r="I86" s="1151" t="s">
        <v>2077</v>
      </c>
      <c r="J86" s="1149"/>
      <c r="K86" s="43" t="s">
        <v>2065</v>
      </c>
      <c r="L86" s="75"/>
      <c r="M86" s="473">
        <f>IF(L86=0,0,L86/100*2.5)</f>
        <v>0</v>
      </c>
      <c r="N86" s="75">
        <f t="shared" si="2"/>
        <v>0</v>
      </c>
      <c r="O86" s="473">
        <f>IF(N86=0,0,N86/100*2.5)</f>
        <v>0</v>
      </c>
    </row>
    <row r="87" spans="7:15" ht="23.25" customHeight="1">
      <c r="G87" s="66" t="s">
        <v>561</v>
      </c>
      <c r="H87" s="464" t="s">
        <v>2116</v>
      </c>
      <c r="I87" s="1153"/>
      <c r="J87" s="1149"/>
      <c r="K87" s="43" t="s">
        <v>2065</v>
      </c>
      <c r="L87" s="75"/>
      <c r="M87" s="473">
        <f>IF(L87=0,0,L87/100*2)</f>
        <v>0</v>
      </c>
      <c r="N87" s="75">
        <f t="shared" si="2"/>
        <v>0</v>
      </c>
      <c r="O87" s="473">
        <f>IF(N87=0,0,N87/100*2)</f>
        <v>0</v>
      </c>
    </row>
    <row r="88" spans="7:15" ht="11.25" customHeight="1">
      <c r="G88" s="66" t="s">
        <v>562</v>
      </c>
      <c r="H88" s="464" t="s">
        <v>2078</v>
      </c>
      <c r="I88" s="484" t="s">
        <v>2080</v>
      </c>
      <c r="J88" s="1147"/>
      <c r="K88" s="43" t="s">
        <v>896</v>
      </c>
      <c r="L88" s="75"/>
      <c r="M88" s="473">
        <f>IF(L88=0,0,L88/1000*1)</f>
        <v>0</v>
      </c>
      <c r="N88" s="75">
        <f t="shared" si="2"/>
        <v>0</v>
      </c>
      <c r="O88" s="473">
        <f>IF(N88=0,0,N88/1000*1)</f>
        <v>0</v>
      </c>
    </row>
    <row r="89" spans="7:15" ht="11.25" customHeight="1">
      <c r="G89" s="458"/>
      <c r="H89" s="407"/>
      <c r="I89" s="459"/>
      <c r="J89" s="459"/>
      <c r="K89" s="459"/>
      <c r="L89" s="459"/>
      <c r="M89" s="476"/>
      <c r="N89" s="459"/>
      <c r="O89" s="480"/>
    </row>
    <row r="90" spans="7:15" ht="11.25" customHeight="1">
      <c r="G90" s="66"/>
      <c r="H90" s="464" t="s">
        <v>2093</v>
      </c>
      <c r="I90" s="43"/>
      <c r="J90" s="43"/>
      <c r="K90" s="43"/>
      <c r="L90" s="464"/>
      <c r="M90" s="473" t="e">
        <f>SUM(M44:M89)</f>
        <v>#REF!</v>
      </c>
      <c r="N90" s="464"/>
      <c r="O90" s="473" t="e">
        <f>SUM(O44:O89)</f>
        <v>#REF!</v>
      </c>
    </row>
    <row r="91" spans="7:15" ht="11.25" hidden="1" customHeight="1"/>
    <row r="92" spans="7:15" ht="11.25" customHeight="1">
      <c r="G92" s="66"/>
      <c r="H92" s="464" t="s">
        <v>2117</v>
      </c>
      <c r="I92" s="43"/>
      <c r="J92" s="43"/>
      <c r="K92" s="43"/>
      <c r="L92" s="464"/>
      <c r="M92" s="473" t="e">
        <f>M90+M39</f>
        <v>#REF!</v>
      </c>
      <c r="N92" s="464"/>
      <c r="O92" s="473" t="e">
        <f>O90+O39</f>
        <v>#REF!</v>
      </c>
    </row>
  </sheetData>
  <sheetProtection formatColumns="0" formatRows="0" insertRows="0" deleteColumns="0" deleteRows="0" sort="0" autoFilter="0"/>
  <mergeCells count="41">
    <mergeCell ref="I77:I78"/>
    <mergeCell ref="J77:J81"/>
    <mergeCell ref="K77:K81"/>
    <mergeCell ref="J82:J88"/>
    <mergeCell ref="I83:I85"/>
    <mergeCell ref="I86:I87"/>
    <mergeCell ref="I68:I71"/>
    <mergeCell ref="J68:J71"/>
    <mergeCell ref="K68:K71"/>
    <mergeCell ref="I73:I76"/>
    <mergeCell ref="J73:J76"/>
    <mergeCell ref="K73:K76"/>
    <mergeCell ref="K57:K58"/>
    <mergeCell ref="I60:I63"/>
    <mergeCell ref="J60:J63"/>
    <mergeCell ref="K60:K63"/>
    <mergeCell ref="I65:I66"/>
    <mergeCell ref="J65:J66"/>
    <mergeCell ref="K65:K66"/>
    <mergeCell ref="I57:I58"/>
    <mergeCell ref="J57:J58"/>
    <mergeCell ref="K44:K47"/>
    <mergeCell ref="K49:K50"/>
    <mergeCell ref="K52:K55"/>
    <mergeCell ref="G16:G17"/>
    <mergeCell ref="G14:K14"/>
    <mergeCell ref="H16:H17"/>
    <mergeCell ref="I44:I47"/>
    <mergeCell ref="J44:J47"/>
    <mergeCell ref="I49:I50"/>
    <mergeCell ref="J49:J50"/>
    <mergeCell ref="I52:I55"/>
    <mergeCell ref="J52:J55"/>
    <mergeCell ref="L16:M16"/>
    <mergeCell ref="N16:O16"/>
    <mergeCell ref="I19:I28"/>
    <mergeCell ref="J19:J28"/>
    <mergeCell ref="K19:K28"/>
    <mergeCell ref="I16:I17"/>
    <mergeCell ref="J16:J17"/>
    <mergeCell ref="K16:K17"/>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3:DG434"/>
  <sheetViews>
    <sheetView showGridLines="0" workbookViewId="0"/>
  </sheetViews>
  <sheetFormatPr defaultColWidth="9.140625" defaultRowHeight="12" customHeight="1" outlineLevelRow="1"/>
  <cols>
    <col min="1" max="1" width="34.42578125" customWidth="1"/>
    <col min="2" max="2" width="28.7109375" customWidth="1"/>
    <col min="3" max="5" width="7.5703125" customWidth="1"/>
    <col min="6" max="6" width="12.140625" customWidth="1"/>
    <col min="7" max="7" width="32.85546875" customWidth="1"/>
    <col min="8" max="8" width="11.85546875" customWidth="1"/>
    <col min="9" max="9" width="12.7109375" customWidth="1"/>
    <col min="10" max="10" width="9.5703125" customWidth="1"/>
    <col min="11" max="11" width="11.85546875" customWidth="1"/>
    <col min="12" max="12" width="11.5703125" customWidth="1"/>
    <col min="13" max="13" width="6.140625" customWidth="1"/>
    <col min="15" max="15" width="11.85546875" customWidth="1"/>
    <col min="17" max="17" width="16.85546875" customWidth="1"/>
    <col min="18" max="18" width="13.140625" customWidth="1"/>
    <col min="19" max="19" width="10.28515625" customWidth="1"/>
    <col min="20" max="20" width="11.85546875" customWidth="1"/>
    <col min="21" max="22" width="16.7109375" customWidth="1"/>
    <col min="23" max="23" width="8.140625" customWidth="1"/>
    <col min="24" max="24" width="8" customWidth="1"/>
    <col min="25" max="25" width="10.140625" customWidth="1"/>
    <col min="26" max="26" width="9.7109375" customWidth="1"/>
    <col min="27" max="27" width="11" customWidth="1"/>
    <col min="28" max="28" width="11.140625" customWidth="1"/>
    <col min="29" max="29" width="32.140625" customWidth="1"/>
    <col min="30" max="32" width="8.85546875" customWidth="1"/>
    <col min="33" max="34" width="4.7109375" customWidth="1"/>
    <col min="35" max="37" width="7.7109375" customWidth="1"/>
    <col min="38" max="38" width="4.5703125" customWidth="1"/>
    <col min="39" max="40" width="4.7109375" customWidth="1"/>
    <col min="41" max="41" width="6.140625" customWidth="1"/>
    <col min="42" max="44" width="4.7109375" customWidth="1"/>
    <col min="45" max="45" width="12" customWidth="1"/>
    <col min="46" max="51" width="4.7109375" customWidth="1"/>
    <col min="52" max="52" width="7.5703125" customWidth="1"/>
    <col min="53" max="53" width="6.5703125" customWidth="1"/>
    <col min="54" max="54" width="8" customWidth="1"/>
    <col min="55" max="56" width="9.5703125" customWidth="1"/>
    <col min="57" max="57" width="8.42578125" customWidth="1"/>
    <col min="58" max="60" width="4.7109375" customWidth="1"/>
    <col min="61" max="61" width="8.42578125" customWidth="1"/>
    <col min="62" max="62" width="4.7109375" customWidth="1"/>
    <col min="63" max="63" width="5.85546875" customWidth="1"/>
    <col min="64" max="64" width="6.42578125" customWidth="1"/>
    <col min="65" max="67" width="4.7109375" customWidth="1"/>
  </cols>
  <sheetData>
    <row r="3" spans="1:111" ht="12" customHeight="1">
      <c r="A3" s="648" t="s">
        <v>2140</v>
      </c>
      <c r="B3" s="648" t="s">
        <v>505</v>
      </c>
    </row>
    <row r="4" spans="1:111" ht="11.25" customHeight="1">
      <c r="F4" s="617" t="s">
        <v>517</v>
      </c>
      <c r="G4" s="618"/>
      <c r="H4" s="649"/>
    </row>
    <row r="6" spans="1:111" ht="12" customHeight="1">
      <c r="A6" s="648" t="s">
        <v>2141</v>
      </c>
      <c r="B6" s="648" t="s">
        <v>477</v>
      </c>
    </row>
    <row r="7" spans="1:111" ht="17.25" customHeight="1">
      <c r="E7" s="617" t="s">
        <v>517</v>
      </c>
      <c r="F7" s="107"/>
      <c r="G7" s="491"/>
      <c r="H7" s="172"/>
      <c r="I7" s="650"/>
      <c r="J7" s="489"/>
      <c r="K7" s="489"/>
      <c r="L7" s="490"/>
      <c r="M7" s="172"/>
      <c r="N7" s="487" t="s">
        <v>578</v>
      </c>
      <c r="O7" s="487"/>
      <c r="P7" s="138"/>
      <c r="Q7" s="426"/>
      <c r="R7" s="368"/>
      <c r="S7" s="138"/>
      <c r="T7" s="426"/>
      <c r="U7" s="426"/>
      <c r="V7" s="138"/>
      <c r="W7" s="651"/>
      <c r="X7" s="651"/>
      <c r="Y7" s="75"/>
      <c r="Z7" s="107"/>
      <c r="AA7" s="487"/>
      <c r="AB7" s="431"/>
      <c r="AC7" s="431"/>
      <c r="AD7" s="107"/>
      <c r="AE7" s="431"/>
      <c r="AF7" s="431"/>
      <c r="AG7" s="107"/>
      <c r="AH7" s="89"/>
      <c r="AJ7" s="493"/>
      <c r="AL7" s="493"/>
    </row>
    <row r="9" spans="1:111" ht="12" customHeight="1">
      <c r="A9" s="648" t="s">
        <v>2142</v>
      </c>
      <c r="B9" s="648" t="s">
        <v>2143</v>
      </c>
    </row>
    <row r="10" spans="1:111" ht="18.75" customHeight="1">
      <c r="F10" s="617" t="s">
        <v>517</v>
      </c>
      <c r="G10" s="47"/>
      <c r="H10" s="172"/>
      <c r="I10" s="138"/>
      <c r="J10" s="652"/>
      <c r="K10" s="431"/>
      <c r="L10" s="85"/>
      <c r="M10" s="503"/>
      <c r="N10" s="431"/>
      <c r="O10" s="85"/>
      <c r="P10" s="431"/>
      <c r="Q10" s="431"/>
      <c r="R10" s="85"/>
      <c r="S10" s="431">
        <f>Q10</f>
        <v>0</v>
      </c>
      <c r="T10" s="431"/>
      <c r="U10" s="85"/>
      <c r="V10" s="431"/>
      <c r="W10" s="431"/>
      <c r="X10" s="131"/>
      <c r="Y10" s="89">
        <f>W10</f>
        <v>0</v>
      </c>
      <c r="AA10" s="505"/>
      <c r="AC10" s="505"/>
    </row>
    <row r="11" spans="1:111" ht="18.75" customHeight="1"/>
    <row r="12" spans="1:111" ht="12" customHeight="1">
      <c r="A12" s="648" t="s">
        <v>2144</v>
      </c>
      <c r="B12" s="648" t="s">
        <v>2145</v>
      </c>
    </row>
    <row r="13" spans="1:111" ht="15.75" customHeight="1">
      <c r="F13" s="617" t="s">
        <v>517</v>
      </c>
      <c r="G13" s="171"/>
      <c r="H13" s="172"/>
      <c r="I13" s="171" t="s">
        <v>619</v>
      </c>
      <c r="J13" s="159"/>
      <c r="K13" s="159"/>
      <c r="L13" s="159"/>
      <c r="M13" s="159"/>
      <c r="N13" s="167"/>
      <c r="O13" s="653"/>
      <c r="P13" s="161">
        <f>N13</f>
        <v>0</v>
      </c>
      <c r="Q13" s="653"/>
      <c r="R13" s="75"/>
      <c r="S13" s="653"/>
      <c r="T13" s="167"/>
      <c r="U13" s="653"/>
      <c r="V13" s="90"/>
      <c r="W13" s="653"/>
      <c r="X13" s="75"/>
      <c r="Y13" s="75"/>
      <c r="Z13" s="653"/>
      <c r="AA13" s="78">
        <f>Y13</f>
        <v>0</v>
      </c>
      <c r="AB13" s="653"/>
      <c r="AC13" s="75"/>
      <c r="AD13" s="653"/>
      <c r="AE13" s="75"/>
      <c r="AF13" s="75"/>
      <c r="AG13" s="653"/>
      <c r="AH13" s="75"/>
      <c r="AI13" s="75"/>
      <c r="AJ13" s="75"/>
      <c r="AK13" s="75">
        <f>AF13</f>
        <v>0</v>
      </c>
      <c r="AL13" s="654">
        <f>AK13-AF13</f>
        <v>0</v>
      </c>
      <c r="AM13" s="75"/>
      <c r="AN13" s="75"/>
      <c r="AO13" s="75"/>
      <c r="AP13" s="75"/>
      <c r="AQ13" s="78">
        <f>AP13</f>
        <v>0</v>
      </c>
      <c r="AR13" s="653"/>
      <c r="AS13" s="75"/>
      <c r="AT13" s="75"/>
      <c r="AU13" s="653"/>
      <c r="AV13" s="75">
        <f>AP13</f>
        <v>0</v>
      </c>
      <c r="AW13" s="653"/>
      <c r="AX13" s="75"/>
      <c r="AY13" s="75"/>
      <c r="AZ13" s="653"/>
      <c r="BA13" s="75"/>
      <c r="BB13" s="75"/>
      <c r="BC13" s="173">
        <f>BA13</f>
        <v>0</v>
      </c>
      <c r="BD13" s="653"/>
      <c r="BE13" s="75"/>
      <c r="BF13" s="75"/>
      <c r="BG13" s="75">
        <f>BC13</f>
        <v>0</v>
      </c>
      <c r="BH13" s="75" t="e">
        <f>BC13*#REF!</f>
        <v>#REF!</v>
      </c>
      <c r="BI13" s="653"/>
      <c r="BJ13" s="75"/>
      <c r="BK13" s="75"/>
      <c r="BL13" s="164" t="e">
        <f>BC13-BH13</f>
        <v>#REF!</v>
      </c>
      <c r="BM13" s="173" t="e">
        <f>BC13*#REF!</f>
        <v>#REF!</v>
      </c>
      <c r="BN13" s="653"/>
      <c r="BO13" s="75" t="e">
        <f>BH13*#REF!</f>
        <v>#REF!</v>
      </c>
      <c r="BP13" s="653"/>
      <c r="BQ13" s="164" t="e">
        <f>BM13-BO13</f>
        <v>#REF!</v>
      </c>
      <c r="BR13" s="653"/>
      <c r="BS13" s="90"/>
      <c r="BT13" s="654" t="e">
        <f>BH13-BC13</f>
        <v>#REF!</v>
      </c>
      <c r="BU13" s="75"/>
      <c r="BV13" s="653"/>
      <c r="BW13" s="75"/>
      <c r="BX13" s="653"/>
      <c r="BY13" s="75"/>
      <c r="BZ13" s="653"/>
      <c r="CA13" s="75"/>
      <c r="CB13" s="653"/>
      <c r="CC13" s="75"/>
      <c r="CD13" s="653"/>
      <c r="CE13" s="75"/>
      <c r="CF13" s="653"/>
      <c r="CG13" s="75"/>
      <c r="CH13" s="653"/>
      <c r="CI13" s="75"/>
      <c r="CJ13" s="653"/>
      <c r="CK13" s="90"/>
      <c r="CL13" s="653"/>
      <c r="CM13" s="75"/>
      <c r="CN13" s="653"/>
      <c r="CO13" s="75"/>
      <c r="CP13" s="653"/>
      <c r="CQ13" s="75"/>
      <c r="CR13" s="653"/>
      <c r="CS13" s="75"/>
      <c r="CT13" s="653"/>
      <c r="CU13" s="75"/>
      <c r="CV13" s="653"/>
      <c r="CW13" s="75"/>
      <c r="CX13" s="653"/>
      <c r="CY13" s="75"/>
      <c r="CZ13" s="653"/>
      <c r="DA13" s="75"/>
      <c r="DB13" s="653"/>
      <c r="DC13" s="75"/>
      <c r="DE13" s="138"/>
      <c r="DG13" s="138"/>
    </row>
    <row r="15" spans="1:111" ht="12" customHeight="1">
      <c r="A15" s="648" t="s">
        <v>2146</v>
      </c>
      <c r="B15" s="648" t="s">
        <v>485</v>
      </c>
    </row>
    <row r="17" spans="4:28" ht="12" customHeight="1">
      <c r="D17" s="781"/>
      <c r="E17" s="617" t="s">
        <v>517</v>
      </c>
      <c r="F17" s="494" t="str">
        <f>D17&amp;".1"</f>
        <v>.1</v>
      </c>
      <c r="G17" s="1174"/>
      <c r="H17" s="1175"/>
      <c r="I17" s="506" t="s">
        <v>1963</v>
      </c>
      <c r="J17" s="521"/>
      <c r="K17" s="507">
        <f t="shared" ref="K17:K22" si="0">SUM(L17:M17)</f>
        <v>0</v>
      </c>
      <c r="L17" s="522"/>
      <c r="M17" s="522"/>
      <c r="N17" s="522"/>
      <c r="O17" s="522"/>
      <c r="P17" s="507">
        <f t="shared" ref="P17:P22" si="1">IFERROR(SUM(L17*N17,M17*O17)/SUM(L17:M17),0)</f>
        <v>0</v>
      </c>
      <c r="Q17" s="508">
        <f t="shared" ref="Q17:Q22" si="2">L17*N17+M17*O17</f>
        <v>0</v>
      </c>
      <c r="R17" s="507">
        <f t="shared" ref="R17:R22" si="3">SUM(S17:T17)</f>
        <v>0</v>
      </c>
      <c r="S17" s="522"/>
      <c r="T17" s="522"/>
      <c r="U17" s="522"/>
      <c r="V17" s="522"/>
      <c r="W17" s="507">
        <f t="shared" ref="W17:W22" si="4">IFERROR(SUM(S17*U17,T17*V17)/SUM(S17:T17),0)</f>
        <v>0</v>
      </c>
      <c r="X17" s="508">
        <f t="shared" ref="X17:X22" si="5">S17*U17+T17*V17</f>
        <v>0</v>
      </c>
      <c r="Z17" s="158"/>
      <c r="AB17" s="158"/>
    </row>
    <row r="18" spans="4:28" ht="12" customHeight="1">
      <c r="D18" s="781"/>
      <c r="F18" s="494" t="str">
        <f>D17&amp;".2"</f>
        <v>.2</v>
      </c>
      <c r="G18" s="1174"/>
      <c r="H18" s="1176"/>
      <c r="I18" s="509" t="s">
        <v>1964</v>
      </c>
      <c r="J18" s="523"/>
      <c r="K18" s="436">
        <f t="shared" si="0"/>
        <v>0</v>
      </c>
      <c r="L18" s="462"/>
      <c r="M18" s="462"/>
      <c r="N18" s="462"/>
      <c r="O18" s="462"/>
      <c r="P18" s="436">
        <f t="shared" si="1"/>
        <v>0</v>
      </c>
      <c r="Q18" s="510">
        <f t="shared" si="2"/>
        <v>0</v>
      </c>
      <c r="R18" s="436">
        <f t="shared" si="3"/>
        <v>0</v>
      </c>
      <c r="S18" s="462"/>
      <c r="T18" s="462"/>
      <c r="U18" s="462"/>
      <c r="V18" s="462"/>
      <c r="W18" s="436">
        <f t="shared" si="4"/>
        <v>0</v>
      </c>
      <c r="X18" s="510">
        <f t="shared" si="5"/>
        <v>0</v>
      </c>
      <c r="Z18" s="158"/>
      <c r="AB18" s="158"/>
    </row>
    <row r="19" spans="4:28" ht="12" customHeight="1">
      <c r="D19" s="781"/>
      <c r="F19" s="494" t="str">
        <f>D17&amp;".3"</f>
        <v>.3</v>
      </c>
      <c r="G19" s="1174"/>
      <c r="H19" s="1176"/>
      <c r="I19" s="509" t="s">
        <v>1965</v>
      </c>
      <c r="J19" s="523"/>
      <c r="K19" s="436">
        <f t="shared" si="0"/>
        <v>0</v>
      </c>
      <c r="L19" s="462"/>
      <c r="M19" s="462"/>
      <c r="N19" s="462"/>
      <c r="O19" s="462"/>
      <c r="P19" s="436">
        <f t="shared" si="1"/>
        <v>0</v>
      </c>
      <c r="Q19" s="510">
        <f t="shared" si="2"/>
        <v>0</v>
      </c>
      <c r="R19" s="436">
        <f t="shared" si="3"/>
        <v>0</v>
      </c>
      <c r="S19" s="462"/>
      <c r="T19" s="462"/>
      <c r="U19" s="462"/>
      <c r="V19" s="462"/>
      <c r="W19" s="436">
        <f t="shared" si="4"/>
        <v>0</v>
      </c>
      <c r="X19" s="510">
        <f t="shared" si="5"/>
        <v>0</v>
      </c>
      <c r="Z19" s="158"/>
      <c r="AB19" s="158"/>
    </row>
    <row r="20" spans="4:28" ht="12" customHeight="1">
      <c r="D20" s="781"/>
      <c r="F20" s="494" t="str">
        <f>D17&amp;".4"</f>
        <v>.4</v>
      </c>
      <c r="G20" s="1174"/>
      <c r="H20" s="1176"/>
      <c r="I20" s="509" t="s">
        <v>1966</v>
      </c>
      <c r="J20" s="523"/>
      <c r="K20" s="436">
        <f t="shared" si="0"/>
        <v>0</v>
      </c>
      <c r="L20" s="462"/>
      <c r="M20" s="462"/>
      <c r="N20" s="462"/>
      <c r="O20" s="462"/>
      <c r="P20" s="436">
        <f t="shared" si="1"/>
        <v>0</v>
      </c>
      <c r="Q20" s="510">
        <f t="shared" si="2"/>
        <v>0</v>
      </c>
      <c r="R20" s="436">
        <f t="shared" si="3"/>
        <v>0</v>
      </c>
      <c r="S20" s="462"/>
      <c r="T20" s="462"/>
      <c r="U20" s="462"/>
      <c r="V20" s="462"/>
      <c r="W20" s="436">
        <f t="shared" si="4"/>
        <v>0</v>
      </c>
      <c r="X20" s="510">
        <f t="shared" si="5"/>
        <v>0</v>
      </c>
      <c r="Z20" s="158"/>
      <c r="AB20" s="158"/>
    </row>
    <row r="21" spans="4:28" ht="12" customHeight="1">
      <c r="D21" s="781"/>
      <c r="F21" s="494" t="str">
        <f>D17&amp;".5"</f>
        <v>.5</v>
      </c>
      <c r="G21" s="1174"/>
      <c r="H21" s="1176"/>
      <c r="I21" s="509" t="s">
        <v>1967</v>
      </c>
      <c r="J21" s="523"/>
      <c r="K21" s="436">
        <f t="shared" si="0"/>
        <v>0</v>
      </c>
      <c r="L21" s="462"/>
      <c r="M21" s="462"/>
      <c r="N21" s="462"/>
      <c r="O21" s="462"/>
      <c r="P21" s="436">
        <f t="shared" si="1"/>
        <v>0</v>
      </c>
      <c r="Q21" s="510">
        <f t="shared" si="2"/>
        <v>0</v>
      </c>
      <c r="R21" s="436">
        <f t="shared" si="3"/>
        <v>0</v>
      </c>
      <c r="S21" s="462"/>
      <c r="T21" s="462"/>
      <c r="U21" s="462"/>
      <c r="V21" s="462"/>
      <c r="W21" s="436">
        <f t="shared" si="4"/>
        <v>0</v>
      </c>
      <c r="X21" s="510">
        <f t="shared" si="5"/>
        <v>0</v>
      </c>
      <c r="Z21" s="158"/>
      <c r="AB21" s="158"/>
    </row>
    <row r="22" spans="4:28" ht="12" customHeight="1">
      <c r="D22" s="781"/>
      <c r="F22" s="494" t="str">
        <f>D17&amp;".6"</f>
        <v>.6</v>
      </c>
      <c r="G22" s="1174"/>
      <c r="H22" s="1176"/>
      <c r="I22" s="511" t="s">
        <v>1968</v>
      </c>
      <c r="J22" s="524"/>
      <c r="K22" s="512">
        <f t="shared" si="0"/>
        <v>0</v>
      </c>
      <c r="L22" s="525"/>
      <c r="M22" s="525"/>
      <c r="N22" s="525"/>
      <c r="O22" s="525"/>
      <c r="P22" s="512">
        <f t="shared" si="1"/>
        <v>0</v>
      </c>
      <c r="Q22" s="513">
        <f t="shared" si="2"/>
        <v>0</v>
      </c>
      <c r="R22" s="512">
        <f t="shared" si="3"/>
        <v>0</v>
      </c>
      <c r="S22" s="525"/>
      <c r="T22" s="525"/>
      <c r="U22" s="525"/>
      <c r="V22" s="525"/>
      <c r="W22" s="512">
        <f t="shared" si="4"/>
        <v>0</v>
      </c>
      <c r="X22" s="513">
        <f t="shared" si="5"/>
        <v>0</v>
      </c>
      <c r="Z22" s="158"/>
      <c r="AB22" s="158"/>
    </row>
    <row r="23" spans="4:28" ht="1.5" customHeight="1">
      <c r="D23" s="781"/>
      <c r="F23" s="487"/>
      <c r="G23" s="1174"/>
      <c r="H23" s="1176"/>
      <c r="I23" s="487"/>
      <c r="J23" s="487"/>
      <c r="K23" s="487"/>
      <c r="L23" s="487"/>
      <c r="M23" s="487"/>
      <c r="N23" s="487"/>
      <c r="O23" s="487"/>
      <c r="P23" s="487"/>
      <c r="Q23" s="487"/>
      <c r="R23" s="487"/>
      <c r="S23" s="487"/>
      <c r="T23" s="487"/>
      <c r="U23" s="487"/>
      <c r="V23" s="487"/>
      <c r="W23" s="487"/>
      <c r="X23" s="487"/>
      <c r="Z23" s="655"/>
      <c r="AB23" s="655"/>
    </row>
    <row r="24" spans="4:28" ht="1.5" customHeight="1">
      <c r="D24" s="781"/>
      <c r="F24" s="487"/>
      <c r="G24" s="1174"/>
      <c r="H24" s="1176"/>
      <c r="I24" s="487"/>
      <c r="J24" s="487"/>
      <c r="K24" s="487"/>
      <c r="L24" s="487"/>
      <c r="M24" s="487"/>
      <c r="N24" s="487"/>
      <c r="O24" s="487"/>
      <c r="P24" s="487"/>
      <c r="Q24" s="487"/>
      <c r="R24" s="487"/>
      <c r="S24" s="487"/>
      <c r="T24" s="487"/>
      <c r="U24" s="487"/>
      <c r="V24" s="487"/>
      <c r="W24" s="487"/>
      <c r="X24" s="487"/>
      <c r="Z24" s="655"/>
      <c r="AB24" s="655"/>
    </row>
    <row r="25" spans="4:28" ht="12" customHeight="1">
      <c r="D25" s="781"/>
      <c r="F25" s="494" t="str">
        <f>D17&amp;".7"</f>
        <v>.7</v>
      </c>
      <c r="G25" s="1174"/>
      <c r="H25" s="1176"/>
      <c r="I25" s="514" t="s">
        <v>1969</v>
      </c>
      <c r="J25" s="526"/>
      <c r="K25" s="515">
        <f t="shared" ref="K25:K33" si="6">SUM(L25:M25)</f>
        <v>0</v>
      </c>
      <c r="L25" s="527"/>
      <c r="M25" s="527"/>
      <c r="N25" s="527"/>
      <c r="O25" s="527"/>
      <c r="P25" s="515">
        <f t="shared" ref="P25:P30" si="7">IFERROR(SUM(L25*N25,M25*O25)/SUM(L25:M25),0)</f>
        <v>0</v>
      </c>
      <c r="Q25" s="516">
        <f t="shared" ref="Q25:Q30" si="8">L25*N25+M25*O25</f>
        <v>0</v>
      </c>
      <c r="R25" s="515">
        <f t="shared" ref="R25:R33" si="9">SUM(S25:T25)</f>
        <v>0</v>
      </c>
      <c r="S25" s="527"/>
      <c r="T25" s="527"/>
      <c r="U25" s="527"/>
      <c r="V25" s="527"/>
      <c r="W25" s="515">
        <f t="shared" ref="W25:W30" si="10">IFERROR(SUM(S25*U25,T25*V25)/SUM(S25:T25),0)</f>
        <v>0</v>
      </c>
      <c r="X25" s="516">
        <f t="shared" ref="X25:X30" si="11">S25*U25+T25*V25</f>
        <v>0</v>
      </c>
      <c r="Z25" s="158"/>
      <c r="AB25" s="158"/>
    </row>
    <row r="26" spans="4:28" ht="12" customHeight="1">
      <c r="D26" s="781"/>
      <c r="F26" s="494" t="str">
        <f>D17&amp;".8"</f>
        <v>.8</v>
      </c>
      <c r="G26" s="1174"/>
      <c r="H26" s="1176"/>
      <c r="I26" s="509" t="s">
        <v>1970</v>
      </c>
      <c r="J26" s="523"/>
      <c r="K26" s="436">
        <f t="shared" si="6"/>
        <v>0</v>
      </c>
      <c r="L26" s="462"/>
      <c r="M26" s="462"/>
      <c r="N26" s="462"/>
      <c r="O26" s="462"/>
      <c r="P26" s="436">
        <f t="shared" si="7"/>
        <v>0</v>
      </c>
      <c r="Q26" s="510">
        <f t="shared" si="8"/>
        <v>0</v>
      </c>
      <c r="R26" s="436">
        <f t="shared" si="9"/>
        <v>0</v>
      </c>
      <c r="S26" s="462"/>
      <c r="T26" s="462"/>
      <c r="U26" s="462"/>
      <c r="V26" s="462"/>
      <c r="W26" s="436">
        <f t="shared" si="10"/>
        <v>0</v>
      </c>
      <c r="X26" s="510">
        <f t="shared" si="11"/>
        <v>0</v>
      </c>
      <c r="Z26" s="158"/>
      <c r="AB26" s="158"/>
    </row>
    <row r="27" spans="4:28" ht="12" customHeight="1">
      <c r="D27" s="781"/>
      <c r="F27" s="494" t="str">
        <f>D17&amp;".9"</f>
        <v>.9</v>
      </c>
      <c r="G27" s="1174"/>
      <c r="H27" s="1176"/>
      <c r="I27" s="509" t="s">
        <v>1971</v>
      </c>
      <c r="J27" s="523"/>
      <c r="K27" s="436">
        <f t="shared" si="6"/>
        <v>0</v>
      </c>
      <c r="L27" s="462"/>
      <c r="M27" s="462"/>
      <c r="N27" s="462"/>
      <c r="O27" s="462"/>
      <c r="P27" s="436">
        <f t="shared" si="7"/>
        <v>0</v>
      </c>
      <c r="Q27" s="510">
        <f t="shared" si="8"/>
        <v>0</v>
      </c>
      <c r="R27" s="436">
        <f t="shared" si="9"/>
        <v>0</v>
      </c>
      <c r="S27" s="462"/>
      <c r="T27" s="462"/>
      <c r="U27" s="462"/>
      <c r="V27" s="462"/>
      <c r="W27" s="436">
        <f t="shared" si="10"/>
        <v>0</v>
      </c>
      <c r="X27" s="510">
        <f t="shared" si="11"/>
        <v>0</v>
      </c>
      <c r="Z27" s="158"/>
      <c r="AB27" s="158"/>
    </row>
    <row r="28" spans="4:28" ht="12" customHeight="1">
      <c r="D28" s="781"/>
      <c r="F28" s="494" t="str">
        <f>D17&amp;".10"</f>
        <v>.10</v>
      </c>
      <c r="G28" s="1174"/>
      <c r="H28" s="1176"/>
      <c r="I28" s="509" t="s">
        <v>1972</v>
      </c>
      <c r="J28" s="523"/>
      <c r="K28" s="436">
        <f t="shared" si="6"/>
        <v>0</v>
      </c>
      <c r="L28" s="462"/>
      <c r="M28" s="462"/>
      <c r="N28" s="462"/>
      <c r="O28" s="462"/>
      <c r="P28" s="436">
        <f t="shared" si="7"/>
        <v>0</v>
      </c>
      <c r="Q28" s="510">
        <f t="shared" si="8"/>
        <v>0</v>
      </c>
      <c r="R28" s="436">
        <f t="shared" si="9"/>
        <v>0</v>
      </c>
      <c r="S28" s="462"/>
      <c r="T28" s="462"/>
      <c r="U28" s="462"/>
      <c r="V28" s="462"/>
      <c r="W28" s="436">
        <f t="shared" si="10"/>
        <v>0</v>
      </c>
      <c r="X28" s="510">
        <f t="shared" si="11"/>
        <v>0</v>
      </c>
      <c r="Z28" s="158"/>
      <c r="AB28" s="158"/>
    </row>
    <row r="29" spans="4:28" ht="12" customHeight="1">
      <c r="D29" s="781"/>
      <c r="F29" s="494" t="str">
        <f>D17&amp;".11"</f>
        <v>.11</v>
      </c>
      <c r="G29" s="1174"/>
      <c r="H29" s="1176"/>
      <c r="I29" s="509" t="s">
        <v>1973</v>
      </c>
      <c r="J29" s="523"/>
      <c r="K29" s="436">
        <f t="shared" si="6"/>
        <v>0</v>
      </c>
      <c r="L29" s="462"/>
      <c r="M29" s="462"/>
      <c r="N29" s="462"/>
      <c r="O29" s="462"/>
      <c r="P29" s="436">
        <f t="shared" si="7"/>
        <v>0</v>
      </c>
      <c r="Q29" s="510">
        <f t="shared" si="8"/>
        <v>0</v>
      </c>
      <c r="R29" s="436">
        <f t="shared" si="9"/>
        <v>0</v>
      </c>
      <c r="S29" s="462"/>
      <c r="T29" s="462"/>
      <c r="U29" s="462"/>
      <c r="V29" s="462"/>
      <c r="W29" s="436">
        <f t="shared" si="10"/>
        <v>0</v>
      </c>
      <c r="X29" s="510">
        <f t="shared" si="11"/>
        <v>0</v>
      </c>
      <c r="Z29" s="158"/>
      <c r="AB29" s="158"/>
    </row>
    <row r="30" spans="4:28" ht="12" customHeight="1">
      <c r="D30" s="781"/>
      <c r="F30" s="494" t="str">
        <f>D17&amp;".12"</f>
        <v>.12</v>
      </c>
      <c r="G30" s="1174"/>
      <c r="H30" s="1176"/>
      <c r="I30" s="511" t="s">
        <v>1974</v>
      </c>
      <c r="J30" s="524"/>
      <c r="K30" s="512">
        <f t="shared" si="6"/>
        <v>0</v>
      </c>
      <c r="L30" s="525"/>
      <c r="M30" s="525"/>
      <c r="N30" s="525"/>
      <c r="O30" s="525"/>
      <c r="P30" s="512">
        <f t="shared" si="7"/>
        <v>0</v>
      </c>
      <c r="Q30" s="513">
        <f t="shared" si="8"/>
        <v>0</v>
      </c>
      <c r="R30" s="512">
        <f t="shared" si="9"/>
        <v>0</v>
      </c>
      <c r="S30" s="525"/>
      <c r="T30" s="525"/>
      <c r="U30" s="525"/>
      <c r="V30" s="525"/>
      <c r="W30" s="512">
        <f t="shared" si="10"/>
        <v>0</v>
      </c>
      <c r="X30" s="513">
        <f t="shared" si="11"/>
        <v>0</v>
      </c>
      <c r="Z30" s="158"/>
      <c r="AB30" s="158"/>
    </row>
    <row r="31" spans="4:28" ht="29.25" customHeight="1">
      <c r="D31" s="781"/>
      <c r="F31" s="494" t="str">
        <f>D17&amp;".13"</f>
        <v>.13</v>
      </c>
      <c r="G31" s="1174"/>
      <c r="H31" s="1176"/>
      <c r="I31" s="517" t="s">
        <v>928</v>
      </c>
      <c r="J31" s="528"/>
      <c r="K31" s="518">
        <f t="shared" si="6"/>
        <v>0</v>
      </c>
      <c r="L31" s="518">
        <f>SUM(L17:L22)</f>
        <v>0</v>
      </c>
      <c r="M31" s="518">
        <f>SUM(M17:M22)</f>
        <v>0</v>
      </c>
      <c r="N31" s="518">
        <f>IFERROR(SUMPRODUCT(L17:L22,N17:N22)/SUM(L17:L22),0)</f>
        <v>0</v>
      </c>
      <c r="O31" s="518">
        <f>IFERROR(SUMPRODUCT(M17:M22,O17:O22)/SUM(M17:M22),0)</f>
        <v>0</v>
      </c>
      <c r="P31" s="518">
        <f>IFERROR(SUMPRODUCT(K17:K22,P17:P22)/SUM(K17:K22),0)</f>
        <v>0</v>
      </c>
      <c r="Q31" s="518">
        <f>SUM(Q17:Q22)</f>
        <v>0</v>
      </c>
      <c r="R31" s="518">
        <f t="shared" si="9"/>
        <v>0</v>
      </c>
      <c r="S31" s="518">
        <f>SUM(S17:S22)</f>
        <v>0</v>
      </c>
      <c r="T31" s="518">
        <f>SUM(T17:T22)</f>
        <v>0</v>
      </c>
      <c r="U31" s="518">
        <f>IFERROR(SUMPRODUCT(S17:S22,U17:U22)/SUM(S17:S22),0)</f>
        <v>0</v>
      </c>
      <c r="V31" s="518">
        <f>IFERROR(SUMPRODUCT(T17:T22,V17:V22)/SUM(T17:T22),0)</f>
        <v>0</v>
      </c>
      <c r="W31" s="518">
        <f>IFERROR(SUMPRODUCT(R17:R22,W17:W22)/SUM(R17:R22),0)</f>
        <v>0</v>
      </c>
      <c r="X31" s="656">
        <f>SUM(X17:X22)</f>
        <v>0</v>
      </c>
      <c r="Z31" s="158"/>
      <c r="AB31" s="158"/>
    </row>
    <row r="32" spans="4:28" ht="27" customHeight="1">
      <c r="D32" s="781"/>
      <c r="F32" s="494" t="str">
        <f>D17&amp;".14"</f>
        <v>.14</v>
      </c>
      <c r="G32" s="1174"/>
      <c r="H32" s="1176"/>
      <c r="I32" s="519" t="s">
        <v>929</v>
      </c>
      <c r="J32" s="523"/>
      <c r="K32" s="439">
        <f t="shared" si="6"/>
        <v>0</v>
      </c>
      <c r="L32" s="439">
        <f>SUM(L25:L30)</f>
        <v>0</v>
      </c>
      <c r="M32" s="439">
        <f>SUM(M25:M30)</f>
        <v>0</v>
      </c>
      <c r="N32" s="439">
        <f>IFERROR(SUMPRODUCT(L25:L30,N25:N30)/SUM(L25:L30),0)</f>
        <v>0</v>
      </c>
      <c r="O32" s="439">
        <f>IFERROR(SUMPRODUCT(M25:M30,O25:O30)/SUM(M25:M30),0)</f>
        <v>0</v>
      </c>
      <c r="P32" s="439">
        <f>IFERROR(SUMPRODUCT(K25:K30,P25:P30)/SUM(K25:K30),0)</f>
        <v>0</v>
      </c>
      <c r="Q32" s="439">
        <f>SUM(Q25:Q30)</f>
        <v>0</v>
      </c>
      <c r="R32" s="439">
        <f t="shared" si="9"/>
        <v>0</v>
      </c>
      <c r="S32" s="439">
        <f>SUM(S25:S30)</f>
        <v>0</v>
      </c>
      <c r="T32" s="439">
        <f>SUM(T25:T30)</f>
        <v>0</v>
      </c>
      <c r="U32" s="439">
        <f>IFERROR(SUMPRODUCT(S25:S30,U25:U30)/SUM(S25:S30),0)</f>
        <v>0</v>
      </c>
      <c r="V32" s="439">
        <f>IFERROR(SUMPRODUCT(T25:T30,V25:V30)/SUM(T25:T30),0)</f>
        <v>0</v>
      </c>
      <c r="W32" s="439">
        <f>IFERROR(SUMPRODUCT(R25:R30,W25:W30)/SUM(R25:R30),0)</f>
        <v>0</v>
      </c>
      <c r="X32" s="520">
        <f>SUM(X25:X30)</f>
        <v>0</v>
      </c>
      <c r="Z32" s="158"/>
      <c r="AB32" s="158"/>
    </row>
    <row r="33" spans="1:28" ht="12" customHeight="1">
      <c r="D33" s="781"/>
      <c r="F33" s="107" t="str">
        <f>D17&amp;".15"</f>
        <v>.15</v>
      </c>
      <c r="G33" s="1174"/>
      <c r="H33" s="1177"/>
      <c r="I33" s="657" t="str">
        <f>PRD-2&amp;" год"</f>
        <v>2024 год</v>
      </c>
      <c r="J33" s="658"/>
      <c r="K33" s="659">
        <f t="shared" si="6"/>
        <v>0</v>
      </c>
      <c r="L33" s="659">
        <f>L31+L32</f>
        <v>0</v>
      </c>
      <c r="M33" s="659">
        <f>M31+M32</f>
        <v>0</v>
      </c>
      <c r="N33" s="659">
        <f>IFERROR(SUMPRODUCT(L17:L30,N17:N30)/SUM(L17:L30),0)</f>
        <v>0</v>
      </c>
      <c r="O33" s="659">
        <f>IFERROR(SUMPRODUCT(M17:M30,O17:O30)/SUM(M17:M30),0)</f>
        <v>0</v>
      </c>
      <c r="P33" s="659">
        <f>IFERROR(SUMPRODUCT(K17:K30,P17:P30)/SUM(K17:K30),0)</f>
        <v>0</v>
      </c>
      <c r="Q33" s="659">
        <f>Q31+Q32</f>
        <v>0</v>
      </c>
      <c r="R33" s="659">
        <f t="shared" si="9"/>
        <v>0</v>
      </c>
      <c r="S33" s="659">
        <f>S31+S32</f>
        <v>0</v>
      </c>
      <c r="T33" s="659">
        <f>T31+T32</f>
        <v>0</v>
      </c>
      <c r="U33" s="659">
        <f>IFERROR(SUMPRODUCT(S17:S30,U17:U30)/SUM(S17:S30),0)</f>
        <v>0</v>
      </c>
      <c r="V33" s="659">
        <f>IFERROR(SUMPRODUCT(T17:T30,V17:V30)/SUM(T17:T30),0)</f>
        <v>0</v>
      </c>
      <c r="W33" s="659">
        <f>IFERROR(SUMPRODUCT(R17:R30,W17:W30)/SUM(R17:R30),0)</f>
        <v>0</v>
      </c>
      <c r="X33" s="660">
        <f>X31+X32</f>
        <v>0</v>
      </c>
      <c r="Z33" s="158"/>
      <c r="AB33" s="158"/>
    </row>
    <row r="35" spans="1:28" ht="12" customHeight="1">
      <c r="A35" s="648" t="s">
        <v>2147</v>
      </c>
      <c r="B35" s="648" t="s">
        <v>2148</v>
      </c>
    </row>
    <row r="36" spans="1:28" ht="18.75" customHeight="1">
      <c r="F36" s="64"/>
      <c r="G36" s="64"/>
      <c r="H36" s="64"/>
      <c r="I36" s="64"/>
      <c r="J36" s="64"/>
      <c r="K36" s="661"/>
      <c r="L36" s="662" t="s">
        <v>517</v>
      </c>
      <c r="M36" s="47"/>
      <c r="N36" s="172"/>
      <c r="O36" s="75"/>
      <c r="P36" s="75"/>
      <c r="Q36" s="75"/>
      <c r="R36" s="75"/>
      <c r="S36" s="75"/>
      <c r="T36" s="75"/>
      <c r="U36" s="75"/>
      <c r="V36" s="138"/>
      <c r="W36" s="138"/>
      <c r="X36" s="75"/>
      <c r="Y36" s="78">
        <f>P36*X36/1000</f>
        <v>0</v>
      </c>
      <c r="Z36" s="75"/>
      <c r="AA36" s="78">
        <f>Q36*Z36/1000</f>
        <v>0</v>
      </c>
    </row>
    <row r="38" spans="1:28" ht="12" customHeight="1">
      <c r="A38" s="648" t="s">
        <v>2149</v>
      </c>
      <c r="B38" s="648" t="s">
        <v>2148</v>
      </c>
    </row>
    <row r="40" spans="1:28" ht="14.25" customHeight="1">
      <c r="E40" s="617" t="s">
        <v>517</v>
      </c>
      <c r="F40" s="1179"/>
      <c r="G40" s="1180"/>
      <c r="H40" s="1180"/>
      <c r="I40" s="1180"/>
      <c r="J40" s="798" t="s">
        <v>1963</v>
      </c>
      <c r="K40" s="487"/>
      <c r="L40" s="487"/>
      <c r="M40" s="487">
        <v>0</v>
      </c>
      <c r="N40" s="487"/>
      <c r="O40" s="78">
        <f>SUM(O41:O42)</f>
        <v>0</v>
      </c>
      <c r="P40" s="78">
        <f>SUM(P41:P42)</f>
        <v>0</v>
      </c>
      <c r="Q40" s="487"/>
      <c r="R40" s="78">
        <f>SUM(R41:R42)</f>
        <v>0</v>
      </c>
      <c r="S40" s="78">
        <f>SUM(S41:S42)</f>
        <v>0</v>
      </c>
      <c r="T40" s="78">
        <f>SUM(T41:T42)</f>
        <v>0</v>
      </c>
      <c r="U40" s="78">
        <f>SUM(U41:U42)</f>
        <v>0</v>
      </c>
      <c r="V40" s="487"/>
      <c r="W40" s="487"/>
      <c r="X40" s="487"/>
      <c r="Y40" s="487"/>
      <c r="Z40" s="487"/>
      <c r="AA40" s="535"/>
    </row>
    <row r="41" spans="1:28" ht="9.75" hidden="1" customHeight="1">
      <c r="F41" s="826"/>
      <c r="G41" s="1181"/>
      <c r="H41" s="1181"/>
      <c r="I41" s="1181"/>
      <c r="J41" s="798"/>
      <c r="L41" s="155">
        <v>0</v>
      </c>
      <c r="M41" s="109">
        <v>0</v>
      </c>
      <c r="AA41" s="663"/>
    </row>
    <row r="42" spans="1:28" ht="14.25" customHeight="1">
      <c r="F42" s="826"/>
      <c r="G42" s="1181"/>
      <c r="H42" s="1181"/>
      <c r="I42" s="1181"/>
      <c r="J42" s="1091"/>
      <c r="K42" s="536"/>
      <c r="L42" s="664"/>
      <c r="M42" s="537"/>
      <c r="N42" s="479" t="s">
        <v>2150</v>
      </c>
      <c r="O42" s="479"/>
      <c r="P42" s="479"/>
      <c r="Q42" s="479"/>
      <c r="R42" s="479"/>
      <c r="S42" s="479"/>
      <c r="T42" s="479"/>
      <c r="U42" s="479"/>
      <c r="V42" s="479"/>
      <c r="W42" s="479"/>
      <c r="X42" s="479"/>
      <c r="Y42" s="479"/>
      <c r="Z42" s="479"/>
      <c r="AA42" s="480"/>
    </row>
    <row r="43" spans="1:28" ht="14.25" customHeight="1">
      <c r="F43" s="826"/>
      <c r="G43" s="1181"/>
      <c r="H43" s="1181"/>
      <c r="I43" s="1181"/>
      <c r="J43" s="798" t="s">
        <v>1964</v>
      </c>
      <c r="K43" s="538"/>
      <c r="L43" s="538"/>
      <c r="M43" s="538">
        <v>0</v>
      </c>
      <c r="N43" s="538"/>
      <c r="O43" s="133">
        <f>SUM(O44:O45)</f>
        <v>0</v>
      </c>
      <c r="P43" s="133">
        <f>SUM(P44:P45)</f>
        <v>0</v>
      </c>
      <c r="Q43" s="538"/>
      <c r="R43" s="133">
        <f>SUM(R44:R45)</f>
        <v>0</v>
      </c>
      <c r="S43" s="133">
        <f>SUM(S44:S45)</f>
        <v>0</v>
      </c>
      <c r="T43" s="133">
        <f>SUM(T44:T45)</f>
        <v>0</v>
      </c>
      <c r="U43" s="133">
        <f>SUM(U44:U45)</f>
        <v>0</v>
      </c>
      <c r="V43" s="538"/>
      <c r="W43" s="538"/>
      <c r="X43" s="538"/>
      <c r="Y43" s="538"/>
      <c r="Z43" s="538"/>
      <c r="AA43" s="539"/>
    </row>
    <row r="44" spans="1:28" ht="5.25" hidden="1" customHeight="1">
      <c r="F44" s="826"/>
      <c r="G44" s="1181"/>
      <c r="H44" s="1181"/>
      <c r="I44" s="1181"/>
      <c r="J44" s="798"/>
      <c r="L44" s="155">
        <v>0</v>
      </c>
      <c r="M44" s="109">
        <v>0</v>
      </c>
      <c r="AA44" s="663"/>
    </row>
    <row r="45" spans="1:28" ht="14.25" customHeight="1">
      <c r="F45" s="826"/>
      <c r="G45" s="1181"/>
      <c r="H45" s="1181"/>
      <c r="I45" s="1181"/>
      <c r="J45" s="798"/>
      <c r="K45" s="536"/>
      <c r="L45" s="664"/>
      <c r="M45" s="537"/>
      <c r="N45" s="479" t="s">
        <v>2150</v>
      </c>
      <c r="O45" s="479"/>
      <c r="P45" s="479"/>
      <c r="Q45" s="479"/>
      <c r="R45" s="479"/>
      <c r="S45" s="479"/>
      <c r="T45" s="479"/>
      <c r="U45" s="479"/>
      <c r="V45" s="479"/>
      <c r="W45" s="479"/>
      <c r="X45" s="479"/>
      <c r="Y45" s="479"/>
      <c r="Z45" s="479"/>
      <c r="AA45" s="480"/>
    </row>
    <row r="46" spans="1:28" ht="14.25" customHeight="1">
      <c r="F46" s="826"/>
      <c r="G46" s="1181"/>
      <c r="H46" s="1181"/>
      <c r="I46" s="1181"/>
      <c r="J46" s="798" t="s">
        <v>1965</v>
      </c>
      <c r="K46" s="487"/>
      <c r="L46" s="487"/>
      <c r="M46" s="487">
        <v>0</v>
      </c>
      <c r="N46" s="487"/>
      <c r="O46" s="78">
        <f>SUM(O47:O48)</f>
        <v>0</v>
      </c>
      <c r="P46" s="78">
        <f>SUM(P47:P48)</f>
        <v>0</v>
      </c>
      <c r="Q46" s="487"/>
      <c r="R46" s="78">
        <f>SUM(R47:R48)</f>
        <v>0</v>
      </c>
      <c r="S46" s="78">
        <f>SUM(S47:S48)</f>
        <v>0</v>
      </c>
      <c r="T46" s="78">
        <f>SUM(T47:T48)</f>
        <v>0</v>
      </c>
      <c r="U46" s="78">
        <f>SUM(U47:U48)</f>
        <v>0</v>
      </c>
      <c r="V46" s="487"/>
      <c r="W46" s="487"/>
      <c r="X46" s="487"/>
      <c r="Y46" s="487"/>
      <c r="Z46" s="487"/>
      <c r="AA46" s="535"/>
    </row>
    <row r="47" spans="1:28" ht="6.75" hidden="1" customHeight="1">
      <c r="F47" s="826"/>
      <c r="G47" s="1181"/>
      <c r="H47" s="1181"/>
      <c r="I47" s="1181"/>
      <c r="J47" s="798"/>
      <c r="L47" s="155">
        <v>0</v>
      </c>
      <c r="M47" s="109">
        <v>0</v>
      </c>
      <c r="AA47" s="663"/>
    </row>
    <row r="48" spans="1:28" ht="14.25" customHeight="1">
      <c r="F48" s="826"/>
      <c r="G48" s="1181"/>
      <c r="H48" s="1181"/>
      <c r="I48" s="1181"/>
      <c r="J48" s="798"/>
      <c r="K48" s="536"/>
      <c r="L48" s="664"/>
      <c r="M48" s="537"/>
      <c r="N48" s="479" t="s">
        <v>2150</v>
      </c>
      <c r="O48" s="479"/>
      <c r="P48" s="479"/>
      <c r="Q48" s="479"/>
      <c r="R48" s="479"/>
      <c r="S48" s="479"/>
      <c r="T48" s="479"/>
      <c r="U48" s="479"/>
      <c r="V48" s="479"/>
      <c r="W48" s="479"/>
      <c r="X48" s="479"/>
      <c r="Y48" s="479"/>
      <c r="Z48" s="479"/>
      <c r="AA48" s="480"/>
    </row>
    <row r="49" spans="6:27" ht="14.25" customHeight="1">
      <c r="F49" s="826"/>
      <c r="G49" s="1181"/>
      <c r="H49" s="1181"/>
      <c r="I49" s="1181"/>
      <c r="J49" s="798" t="s">
        <v>1966</v>
      </c>
      <c r="K49" s="487"/>
      <c r="L49" s="487"/>
      <c r="M49" s="487">
        <v>0</v>
      </c>
      <c r="N49" s="487"/>
      <c r="O49" s="78">
        <f>SUM(O50:O51)</f>
        <v>0</v>
      </c>
      <c r="P49" s="78">
        <f>SUM(P50:P51)</f>
        <v>0</v>
      </c>
      <c r="Q49" s="487"/>
      <c r="R49" s="78">
        <f>SUM(R50:R51)</f>
        <v>0</v>
      </c>
      <c r="S49" s="78">
        <f>SUM(S50:S51)</f>
        <v>0</v>
      </c>
      <c r="T49" s="78">
        <f>SUM(T50:T51)</f>
        <v>0</v>
      </c>
      <c r="U49" s="78">
        <f>SUM(U50:U51)</f>
        <v>0</v>
      </c>
      <c r="V49" s="487"/>
      <c r="W49" s="487"/>
      <c r="X49" s="487"/>
      <c r="Y49" s="487"/>
      <c r="Z49" s="487"/>
      <c r="AA49" s="535"/>
    </row>
    <row r="50" spans="6:27" ht="7.5" hidden="1" customHeight="1">
      <c r="F50" s="826"/>
      <c r="G50" s="1181"/>
      <c r="H50" s="1181"/>
      <c r="I50" s="1181"/>
      <c r="J50" s="798"/>
      <c r="L50" s="155">
        <v>0</v>
      </c>
      <c r="M50" s="109">
        <v>0</v>
      </c>
      <c r="AA50" s="663"/>
    </row>
    <row r="51" spans="6:27" ht="14.25" customHeight="1">
      <c r="F51" s="826"/>
      <c r="G51" s="1181"/>
      <c r="H51" s="1181"/>
      <c r="I51" s="1181"/>
      <c r="J51" s="798"/>
      <c r="K51" s="536"/>
      <c r="L51" s="664"/>
      <c r="M51" s="537"/>
      <c r="N51" s="479" t="s">
        <v>2150</v>
      </c>
      <c r="O51" s="479"/>
      <c r="P51" s="479"/>
      <c r="Q51" s="479"/>
      <c r="R51" s="479"/>
      <c r="S51" s="479"/>
      <c r="T51" s="479"/>
      <c r="U51" s="479"/>
      <c r="V51" s="479"/>
      <c r="W51" s="479"/>
      <c r="X51" s="479"/>
      <c r="Y51" s="479"/>
      <c r="Z51" s="479"/>
      <c r="AA51" s="480"/>
    </row>
    <row r="52" spans="6:27" ht="14.25" customHeight="1">
      <c r="F52" s="826"/>
      <c r="G52" s="1181"/>
      <c r="H52" s="1181"/>
      <c r="I52" s="1181"/>
      <c r="J52" s="798" t="s">
        <v>1967</v>
      </c>
      <c r="K52" s="487"/>
      <c r="L52" s="487"/>
      <c r="M52" s="487">
        <v>0</v>
      </c>
      <c r="N52" s="487"/>
      <c r="O52" s="78">
        <f>SUM(O53:O54)</f>
        <v>0</v>
      </c>
      <c r="P52" s="78">
        <f>SUM(P53:P54)</f>
        <v>0</v>
      </c>
      <c r="Q52" s="487"/>
      <c r="R52" s="78">
        <f>SUM(R53:R54)</f>
        <v>0</v>
      </c>
      <c r="S52" s="78">
        <f>SUM(S53:S54)</f>
        <v>0</v>
      </c>
      <c r="T52" s="78">
        <f>SUM(T53:T54)</f>
        <v>0</v>
      </c>
      <c r="U52" s="78">
        <f>SUM(U53:U54)</f>
        <v>0</v>
      </c>
      <c r="V52" s="487"/>
      <c r="W52" s="487"/>
      <c r="X52" s="487"/>
      <c r="Y52" s="487"/>
      <c r="Z52" s="487"/>
      <c r="AA52" s="535"/>
    </row>
    <row r="53" spans="6:27" ht="10.5" hidden="1" customHeight="1">
      <c r="F53" s="826"/>
      <c r="G53" s="1181"/>
      <c r="H53" s="1181"/>
      <c r="I53" s="1181"/>
      <c r="J53" s="798"/>
      <c r="L53" s="155">
        <v>0</v>
      </c>
      <c r="M53" s="109">
        <v>0</v>
      </c>
      <c r="AA53" s="663"/>
    </row>
    <row r="54" spans="6:27" ht="14.25" customHeight="1">
      <c r="F54" s="826"/>
      <c r="G54" s="1181"/>
      <c r="H54" s="1181"/>
      <c r="I54" s="1181"/>
      <c r="J54" s="798"/>
      <c r="K54" s="536"/>
      <c r="L54" s="664"/>
      <c r="M54" s="537"/>
      <c r="N54" s="479" t="s">
        <v>2150</v>
      </c>
      <c r="O54" s="479"/>
      <c r="P54" s="479"/>
      <c r="Q54" s="479"/>
      <c r="R54" s="479"/>
      <c r="S54" s="479"/>
      <c r="T54" s="479"/>
      <c r="U54" s="479"/>
      <c r="V54" s="479"/>
      <c r="W54" s="479"/>
      <c r="X54" s="479"/>
      <c r="Y54" s="479"/>
      <c r="Z54" s="479"/>
      <c r="AA54" s="480"/>
    </row>
    <row r="55" spans="6:27" ht="14.25" customHeight="1">
      <c r="F55" s="826"/>
      <c r="G55" s="1181"/>
      <c r="H55" s="1181"/>
      <c r="I55" s="1181"/>
      <c r="J55" s="798" t="s">
        <v>1968</v>
      </c>
      <c r="K55" s="487"/>
      <c r="L55" s="487"/>
      <c r="M55" s="487">
        <v>0</v>
      </c>
      <c r="N55" s="487"/>
      <c r="O55" s="78">
        <f>SUM(O56:O57)</f>
        <v>0</v>
      </c>
      <c r="P55" s="78">
        <f>SUM(P56:P57)</f>
        <v>0</v>
      </c>
      <c r="Q55" s="487"/>
      <c r="R55" s="78">
        <f>SUM(R56:R57)</f>
        <v>0</v>
      </c>
      <c r="S55" s="78">
        <f>SUM(S56:S57)</f>
        <v>0</v>
      </c>
      <c r="T55" s="78">
        <f>SUM(T56:T57)</f>
        <v>0</v>
      </c>
      <c r="U55" s="78">
        <f>SUM(U56:U57)</f>
        <v>0</v>
      </c>
      <c r="V55" s="487"/>
      <c r="W55" s="487"/>
      <c r="X55" s="487"/>
      <c r="Y55" s="487"/>
      <c r="Z55" s="487"/>
      <c r="AA55" s="535"/>
    </row>
    <row r="56" spans="6:27" ht="10.5" hidden="1" customHeight="1">
      <c r="F56" s="826"/>
      <c r="G56" s="1181"/>
      <c r="H56" s="1181"/>
      <c r="I56" s="1181"/>
      <c r="J56" s="798"/>
      <c r="L56" s="155">
        <v>0</v>
      </c>
      <c r="M56" s="109">
        <v>0</v>
      </c>
      <c r="AA56" s="663"/>
    </row>
    <row r="57" spans="6:27" ht="14.25" customHeight="1">
      <c r="F57" s="826"/>
      <c r="G57" s="1181"/>
      <c r="H57" s="1181"/>
      <c r="I57" s="1181"/>
      <c r="J57" s="798"/>
      <c r="K57" s="536"/>
      <c r="L57" s="664"/>
      <c r="M57" s="537"/>
      <c r="N57" s="479" t="s">
        <v>2150</v>
      </c>
      <c r="O57" s="479"/>
      <c r="P57" s="479"/>
      <c r="Q57" s="479"/>
      <c r="R57" s="479"/>
      <c r="S57" s="479"/>
      <c r="T57" s="479"/>
      <c r="U57" s="479"/>
      <c r="V57" s="479"/>
      <c r="W57" s="479"/>
      <c r="X57" s="479"/>
      <c r="Y57" s="479"/>
      <c r="Z57" s="479"/>
      <c r="AA57" s="480"/>
    </row>
    <row r="58" spans="6:27" ht="14.25" customHeight="1">
      <c r="F58" s="826"/>
      <c r="G58" s="1181"/>
      <c r="H58" s="1181"/>
      <c r="I58" s="1181"/>
      <c r="J58" s="798" t="s">
        <v>1969</v>
      </c>
      <c r="K58" s="487"/>
      <c r="L58" s="487"/>
      <c r="M58" s="487">
        <v>0</v>
      </c>
      <c r="N58" s="487"/>
      <c r="O58" s="78">
        <f>SUM(O59:O60)</f>
        <v>0</v>
      </c>
      <c r="P58" s="78">
        <f>SUM(P59:P60)</f>
        <v>0</v>
      </c>
      <c r="Q58" s="487"/>
      <c r="R58" s="78">
        <f>SUM(R59:R60)</f>
        <v>0</v>
      </c>
      <c r="S58" s="78">
        <f>SUM(S59:S60)</f>
        <v>0</v>
      </c>
      <c r="T58" s="78">
        <f>SUM(T59:T60)</f>
        <v>0</v>
      </c>
      <c r="U58" s="78">
        <f>SUM(U59:U60)</f>
        <v>0</v>
      </c>
      <c r="V58" s="487"/>
      <c r="W58" s="487"/>
      <c r="X58" s="487"/>
      <c r="Y58" s="487"/>
      <c r="Z58" s="487"/>
      <c r="AA58" s="535"/>
    </row>
    <row r="59" spans="6:27" ht="12.75" hidden="1" customHeight="1">
      <c r="F59" s="826"/>
      <c r="G59" s="1181"/>
      <c r="H59" s="1181"/>
      <c r="I59" s="1181"/>
      <c r="J59" s="798"/>
      <c r="L59" s="155">
        <v>0</v>
      </c>
      <c r="M59" s="109">
        <v>0</v>
      </c>
      <c r="AA59" s="663"/>
    </row>
    <row r="60" spans="6:27" ht="14.25" customHeight="1">
      <c r="F60" s="826"/>
      <c r="G60" s="1181"/>
      <c r="H60" s="1181"/>
      <c r="I60" s="1181"/>
      <c r="J60" s="798"/>
      <c r="K60" s="536"/>
      <c r="L60" s="664"/>
      <c r="M60" s="537"/>
      <c r="N60" s="479" t="s">
        <v>2150</v>
      </c>
      <c r="O60" s="479"/>
      <c r="P60" s="479"/>
      <c r="Q60" s="479"/>
      <c r="R60" s="479"/>
      <c r="S60" s="479"/>
      <c r="T60" s="479"/>
      <c r="U60" s="479"/>
      <c r="V60" s="479"/>
      <c r="W60" s="479"/>
      <c r="X60" s="479"/>
      <c r="Y60" s="479"/>
      <c r="Z60" s="479"/>
      <c r="AA60" s="480"/>
    </row>
    <row r="61" spans="6:27" ht="14.25" customHeight="1">
      <c r="F61" s="826"/>
      <c r="G61" s="1181"/>
      <c r="H61" s="1181"/>
      <c r="I61" s="1181"/>
      <c r="J61" s="798" t="s">
        <v>1970</v>
      </c>
      <c r="K61" s="487"/>
      <c r="L61" s="487"/>
      <c r="M61" s="487">
        <v>0</v>
      </c>
      <c r="N61" s="487"/>
      <c r="O61" s="78">
        <f>SUM(O62:O63)</f>
        <v>0</v>
      </c>
      <c r="P61" s="78">
        <f>SUM(P62:P63)</f>
        <v>0</v>
      </c>
      <c r="Q61" s="487"/>
      <c r="R61" s="78">
        <f>SUM(R62:R63)</f>
        <v>0</v>
      </c>
      <c r="S61" s="78">
        <f>SUM(S62:S63)</f>
        <v>0</v>
      </c>
      <c r="T61" s="78">
        <f>SUM(T62:T63)</f>
        <v>0</v>
      </c>
      <c r="U61" s="78">
        <f>SUM(U62:U63)</f>
        <v>0</v>
      </c>
      <c r="V61" s="487"/>
      <c r="W61" s="487"/>
      <c r="X61" s="487"/>
      <c r="Y61" s="487"/>
      <c r="Z61" s="487"/>
      <c r="AA61" s="535"/>
    </row>
    <row r="62" spans="6:27" ht="7.5" hidden="1" customHeight="1">
      <c r="F62" s="826"/>
      <c r="G62" s="1181"/>
      <c r="H62" s="1181"/>
      <c r="I62" s="1181"/>
      <c r="J62" s="798"/>
      <c r="L62" s="155">
        <v>0</v>
      </c>
      <c r="M62" s="109">
        <v>0</v>
      </c>
      <c r="AA62" s="663"/>
    </row>
    <row r="63" spans="6:27" ht="14.25" customHeight="1">
      <c r="F63" s="826"/>
      <c r="G63" s="1181"/>
      <c r="H63" s="1181"/>
      <c r="I63" s="1181"/>
      <c r="J63" s="798"/>
      <c r="K63" s="536"/>
      <c r="L63" s="664"/>
      <c r="M63" s="537"/>
      <c r="N63" s="479" t="s">
        <v>2150</v>
      </c>
      <c r="O63" s="479"/>
      <c r="P63" s="479"/>
      <c r="Q63" s="479"/>
      <c r="R63" s="479"/>
      <c r="S63" s="479"/>
      <c r="T63" s="479"/>
      <c r="U63" s="479"/>
      <c r="V63" s="479"/>
      <c r="W63" s="479"/>
      <c r="X63" s="479"/>
      <c r="Y63" s="479"/>
      <c r="Z63" s="479"/>
      <c r="AA63" s="480"/>
    </row>
    <row r="64" spans="6:27" ht="14.25" customHeight="1">
      <c r="F64" s="826"/>
      <c r="G64" s="1181"/>
      <c r="H64" s="1181"/>
      <c r="I64" s="1181"/>
      <c r="J64" s="798" t="s">
        <v>1971</v>
      </c>
      <c r="K64" s="487"/>
      <c r="L64" s="487"/>
      <c r="M64" s="487">
        <v>0</v>
      </c>
      <c r="N64" s="487"/>
      <c r="O64" s="78">
        <f>SUM(O65:O66)</f>
        <v>0</v>
      </c>
      <c r="P64" s="78">
        <f>SUM(P65:P66)</f>
        <v>0</v>
      </c>
      <c r="Q64" s="487"/>
      <c r="R64" s="78">
        <f>SUM(R65:R66)</f>
        <v>0</v>
      </c>
      <c r="S64" s="78">
        <f>SUM(S65:S66)</f>
        <v>0</v>
      </c>
      <c r="T64" s="78">
        <f>SUM(T65:T66)</f>
        <v>0</v>
      </c>
      <c r="U64" s="78">
        <f>SUM(U65:U66)</f>
        <v>0</v>
      </c>
      <c r="V64" s="487"/>
      <c r="W64" s="487"/>
      <c r="X64" s="487"/>
      <c r="Y64" s="487"/>
      <c r="Z64" s="487"/>
      <c r="AA64" s="535"/>
    </row>
    <row r="65" spans="6:27" ht="8.25" hidden="1" customHeight="1">
      <c r="F65" s="826"/>
      <c r="G65" s="1181"/>
      <c r="H65" s="1181"/>
      <c r="I65" s="1181"/>
      <c r="J65" s="798"/>
      <c r="L65" s="155">
        <v>0</v>
      </c>
      <c r="M65" s="109">
        <v>0</v>
      </c>
      <c r="AA65" s="663"/>
    </row>
    <row r="66" spans="6:27" ht="14.25" customHeight="1">
      <c r="F66" s="826"/>
      <c r="G66" s="1181"/>
      <c r="H66" s="1181"/>
      <c r="I66" s="1181"/>
      <c r="J66" s="798"/>
      <c r="K66" s="536"/>
      <c r="L66" s="664"/>
      <c r="M66" s="537"/>
      <c r="N66" s="479" t="s">
        <v>2150</v>
      </c>
      <c r="O66" s="479"/>
      <c r="P66" s="479"/>
      <c r="Q66" s="479"/>
      <c r="R66" s="479"/>
      <c r="S66" s="479"/>
      <c r="T66" s="479"/>
      <c r="U66" s="479"/>
      <c r="V66" s="479"/>
      <c r="W66" s="479"/>
      <c r="X66" s="479"/>
      <c r="Y66" s="479"/>
      <c r="Z66" s="479"/>
      <c r="AA66" s="480"/>
    </row>
    <row r="67" spans="6:27" ht="14.25" customHeight="1">
      <c r="F67" s="826"/>
      <c r="G67" s="1181"/>
      <c r="H67" s="1181"/>
      <c r="I67" s="1181"/>
      <c r="J67" s="798" t="s">
        <v>1972</v>
      </c>
      <c r="K67" s="487"/>
      <c r="L67" s="487"/>
      <c r="M67" s="487">
        <v>0</v>
      </c>
      <c r="N67" s="487"/>
      <c r="O67" s="78">
        <f>SUM(O68:O69)</f>
        <v>0</v>
      </c>
      <c r="P67" s="78">
        <f>SUM(P68:P69)</f>
        <v>0</v>
      </c>
      <c r="Q67" s="487"/>
      <c r="R67" s="78">
        <f>SUM(R68:R69)</f>
        <v>0</v>
      </c>
      <c r="S67" s="78">
        <f>SUM(S68:S69)</f>
        <v>0</v>
      </c>
      <c r="T67" s="78">
        <f>SUM(T68:T69)</f>
        <v>0</v>
      </c>
      <c r="U67" s="78">
        <f>SUM(U68:U69)</f>
        <v>0</v>
      </c>
      <c r="V67" s="487"/>
      <c r="W67" s="487"/>
      <c r="X67" s="487"/>
      <c r="Y67" s="487"/>
      <c r="Z67" s="487"/>
      <c r="AA67" s="535"/>
    </row>
    <row r="68" spans="6:27" ht="8.25" hidden="1" customHeight="1">
      <c r="F68" s="826"/>
      <c r="G68" s="1181"/>
      <c r="H68" s="1181"/>
      <c r="I68" s="1181"/>
      <c r="J68" s="798"/>
      <c r="L68" s="155">
        <v>0</v>
      </c>
      <c r="M68" s="109">
        <v>0</v>
      </c>
      <c r="AA68" s="663"/>
    </row>
    <row r="69" spans="6:27" ht="14.25" customHeight="1">
      <c r="F69" s="826"/>
      <c r="G69" s="1181"/>
      <c r="H69" s="1181"/>
      <c r="I69" s="1181"/>
      <c r="J69" s="798"/>
      <c r="K69" s="536"/>
      <c r="L69" s="664"/>
      <c r="M69" s="537"/>
      <c r="N69" s="479" t="s">
        <v>2150</v>
      </c>
      <c r="O69" s="479"/>
      <c r="P69" s="479"/>
      <c r="Q69" s="479"/>
      <c r="R69" s="479"/>
      <c r="S69" s="479"/>
      <c r="T69" s="479"/>
      <c r="U69" s="479"/>
      <c r="V69" s="479"/>
      <c r="W69" s="479"/>
      <c r="X69" s="479"/>
      <c r="Y69" s="479"/>
      <c r="Z69" s="479"/>
      <c r="AA69" s="480"/>
    </row>
    <row r="70" spans="6:27" ht="14.25" customHeight="1">
      <c r="F70" s="826"/>
      <c r="G70" s="1181"/>
      <c r="H70" s="1181"/>
      <c r="I70" s="1181"/>
      <c r="J70" s="798" t="s">
        <v>1973</v>
      </c>
      <c r="K70" s="487"/>
      <c r="L70" s="487"/>
      <c r="M70" s="487">
        <v>0</v>
      </c>
      <c r="N70" s="487"/>
      <c r="O70" s="78">
        <f>SUM(O71:O72)</f>
        <v>0</v>
      </c>
      <c r="P70" s="78">
        <f>SUM(P71:P72)</f>
        <v>0</v>
      </c>
      <c r="Q70" s="487"/>
      <c r="R70" s="78">
        <f>SUM(R71:R72)</f>
        <v>0</v>
      </c>
      <c r="S70" s="78">
        <f>SUM(S71:S72)</f>
        <v>0</v>
      </c>
      <c r="T70" s="78">
        <f>SUM(T71:T72)</f>
        <v>0</v>
      </c>
      <c r="U70" s="78">
        <f>SUM(U71:U72)</f>
        <v>0</v>
      </c>
      <c r="V70" s="487"/>
      <c r="W70" s="487"/>
      <c r="X70" s="487"/>
      <c r="Y70" s="487"/>
      <c r="Z70" s="487"/>
      <c r="AA70" s="535"/>
    </row>
    <row r="71" spans="6:27" ht="9" hidden="1" customHeight="1">
      <c r="F71" s="826"/>
      <c r="G71" s="1181"/>
      <c r="H71" s="1181"/>
      <c r="I71" s="1181"/>
      <c r="J71" s="798"/>
      <c r="L71" s="155">
        <v>0</v>
      </c>
      <c r="M71" s="109">
        <v>0</v>
      </c>
      <c r="AA71" s="663"/>
    </row>
    <row r="72" spans="6:27" ht="14.25" customHeight="1">
      <c r="F72" s="826"/>
      <c r="G72" s="1181"/>
      <c r="H72" s="1181"/>
      <c r="I72" s="1181"/>
      <c r="J72" s="798"/>
      <c r="K72" s="536"/>
      <c r="L72" s="664"/>
      <c r="M72" s="537"/>
      <c r="N72" s="479" t="s">
        <v>2150</v>
      </c>
      <c r="O72" s="479"/>
      <c r="P72" s="479"/>
      <c r="Q72" s="479"/>
      <c r="R72" s="479"/>
      <c r="S72" s="479"/>
      <c r="T72" s="479"/>
      <c r="U72" s="479"/>
      <c r="V72" s="479"/>
      <c r="W72" s="479"/>
      <c r="X72" s="479"/>
      <c r="Y72" s="479"/>
      <c r="Z72" s="479"/>
      <c r="AA72" s="480"/>
    </row>
    <row r="73" spans="6:27" ht="14.25" customHeight="1">
      <c r="F73" s="826"/>
      <c r="G73" s="1181"/>
      <c r="H73" s="1181"/>
      <c r="I73" s="1181"/>
      <c r="J73" s="798" t="s">
        <v>1974</v>
      </c>
      <c r="K73" s="487"/>
      <c r="L73" s="487"/>
      <c r="M73" s="487">
        <v>0</v>
      </c>
      <c r="N73" s="487"/>
      <c r="O73" s="78">
        <f>SUM(O74:O75)</f>
        <v>0</v>
      </c>
      <c r="P73" s="78">
        <f>SUM(P74:P75)</f>
        <v>0</v>
      </c>
      <c r="Q73" s="487"/>
      <c r="R73" s="78">
        <f>SUM(R74:R75)</f>
        <v>0</v>
      </c>
      <c r="S73" s="78">
        <f>SUM(S74:S75)</f>
        <v>0</v>
      </c>
      <c r="T73" s="78">
        <f>SUM(T74:T75)</f>
        <v>0</v>
      </c>
      <c r="U73" s="78">
        <f>SUM(U74:U75)</f>
        <v>0</v>
      </c>
      <c r="V73" s="487"/>
      <c r="W73" s="487"/>
      <c r="X73" s="487"/>
      <c r="Y73" s="487"/>
      <c r="Z73" s="487"/>
      <c r="AA73" s="535"/>
    </row>
    <row r="74" spans="6:27" ht="9.75" hidden="1" customHeight="1">
      <c r="F74" s="826"/>
      <c r="G74" s="1181"/>
      <c r="H74" s="1181"/>
      <c r="I74" s="1181"/>
      <c r="J74" s="798"/>
      <c r="L74" s="155">
        <v>0</v>
      </c>
      <c r="M74" s="109">
        <v>0</v>
      </c>
      <c r="AA74" s="663"/>
    </row>
    <row r="75" spans="6:27" ht="14.25" customHeight="1">
      <c r="F75" s="826"/>
      <c r="G75" s="1181"/>
      <c r="H75" s="1181"/>
      <c r="I75" s="1181"/>
      <c r="J75" s="825"/>
      <c r="K75" s="536"/>
      <c r="L75" s="664"/>
      <c r="M75" s="537"/>
      <c r="N75" s="479" t="s">
        <v>2150</v>
      </c>
      <c r="O75" s="479"/>
      <c r="P75" s="479"/>
      <c r="Q75" s="479"/>
      <c r="R75" s="479"/>
      <c r="S75" s="479"/>
      <c r="T75" s="479"/>
      <c r="U75" s="479"/>
      <c r="V75" s="479"/>
      <c r="W75" s="479"/>
      <c r="X75" s="479"/>
      <c r="Y75" s="479"/>
      <c r="Z75" s="479"/>
      <c r="AA75" s="480"/>
    </row>
    <row r="76" spans="6:27" ht="37.5" customHeight="1">
      <c r="F76" s="826"/>
      <c r="G76" s="1181"/>
      <c r="H76" s="1181"/>
      <c r="I76" s="1183"/>
      <c r="J76" s="540" t="s">
        <v>2151</v>
      </c>
      <c r="K76" s="542"/>
      <c r="L76" s="495"/>
      <c r="M76" s="495"/>
      <c r="N76" s="541"/>
      <c r="O76" s="78">
        <f>SUM(O40,O43,O46,O49,O52,O55)</f>
        <v>0</v>
      </c>
      <c r="P76" s="78">
        <f>SUM(P40,P43,P46,P49,P52,P55)</f>
        <v>0</v>
      </c>
      <c r="Q76" s="78">
        <f>IF(SUM(Q40:Q57)=0,0,AVERAGE(Q40:Q57))</f>
        <v>0</v>
      </c>
      <c r="R76" s="78">
        <f>SUM(R40,R43,R46,R49,R52,R55)</f>
        <v>0</v>
      </c>
      <c r="S76" s="78">
        <f>SUM(S40,S43,S46,S49,S52,S55)</f>
        <v>0</v>
      </c>
      <c r="T76" s="78">
        <f>SUM(T40,T43,T46,T49,T52,T55)</f>
        <v>0</v>
      </c>
      <c r="U76" s="78">
        <f>SUM(U40,U43,U46,U49,U52,U55)</f>
        <v>0</v>
      </c>
      <c r="V76" s="542"/>
      <c r="W76" s="495"/>
      <c r="X76" s="161"/>
      <c r="Y76" s="78">
        <f>SUM(Y40:Y57)</f>
        <v>0</v>
      </c>
      <c r="Z76" s="78"/>
      <c r="AA76" s="78">
        <f>SUM(AA40:AA57)</f>
        <v>0</v>
      </c>
    </row>
    <row r="77" spans="6:27" ht="38.25" customHeight="1">
      <c r="F77" s="826"/>
      <c r="G77" s="1181"/>
      <c r="H77" s="1181"/>
      <c r="I77" s="1183"/>
      <c r="J77" s="543" t="s">
        <v>2152</v>
      </c>
      <c r="K77" s="546"/>
      <c r="L77" s="544"/>
      <c r="M77" s="544"/>
      <c r="N77" s="545"/>
      <c r="O77" s="78">
        <f>SUM(O73,O70,O67,O64,O61,O58)</f>
        <v>0</v>
      </c>
      <c r="P77" s="78">
        <f>SUM(P73,P70,P67,P64,P61,P58)</f>
        <v>0</v>
      </c>
      <c r="Q77" s="78">
        <f>IF(SUM(Q58:Q75)=0,0,AVERAGE(Q58:Q75))</f>
        <v>0</v>
      </c>
      <c r="R77" s="78">
        <f>SUM(R73,R70,R67,R64,R61,R58)</f>
        <v>0</v>
      </c>
      <c r="S77" s="78">
        <f>SUM(S73,S70,S67,S64,S61,S58)</f>
        <v>0</v>
      </c>
      <c r="T77" s="78">
        <f>SUM(T73,T70,T67,T64,T61,T58)</f>
        <v>0</v>
      </c>
      <c r="U77" s="78">
        <f>SUM(U73,U70,U67,U64,U61,U58)</f>
        <v>0</v>
      </c>
      <c r="V77" s="546"/>
      <c r="W77" s="544"/>
      <c r="X77" s="161"/>
      <c r="Y77" s="78">
        <f>SUM(Y58:Y75)</f>
        <v>0</v>
      </c>
      <c r="Z77" s="78"/>
      <c r="AA77" s="78">
        <f>SUM(AA58:AA75)</f>
        <v>0</v>
      </c>
    </row>
    <row r="78" spans="6:27" ht="36" customHeight="1">
      <c r="F78" s="847"/>
      <c r="G78" s="1182"/>
      <c r="H78" s="1182"/>
      <c r="I78" s="1184"/>
      <c r="J78" s="119" t="s">
        <v>2153</v>
      </c>
      <c r="K78" s="547"/>
      <c r="L78" s="538"/>
      <c r="M78" s="538"/>
      <c r="N78" s="539"/>
      <c r="O78" s="78">
        <f>O77+O76</f>
        <v>0</v>
      </c>
      <c r="P78" s="78">
        <f>P77+P76</f>
        <v>0</v>
      </c>
      <c r="Q78" s="78">
        <f>AVERAGE(Q76,Q77)</f>
        <v>0</v>
      </c>
      <c r="R78" s="78">
        <f>R77+R76</f>
        <v>0</v>
      </c>
      <c r="S78" s="78">
        <f>S77+S76</f>
        <v>0</v>
      </c>
      <c r="T78" s="78">
        <f>T77+T76</f>
        <v>0</v>
      </c>
      <c r="U78" s="78">
        <f>U77+U76</f>
        <v>0</v>
      </c>
      <c r="V78" s="547"/>
      <c r="W78" s="538"/>
      <c r="X78" s="161"/>
      <c r="Y78" s="78">
        <f>Y76+Y77</f>
        <v>0</v>
      </c>
      <c r="Z78" s="78"/>
      <c r="AA78" s="78">
        <f>AA76+AA77</f>
        <v>0</v>
      </c>
    </row>
    <row r="86" spans="1:17" ht="12" customHeight="1">
      <c r="A86" s="648" t="s">
        <v>2154</v>
      </c>
      <c r="B86" s="648" t="s">
        <v>2155</v>
      </c>
    </row>
    <row r="89" spans="1:17" ht="18.75" customHeight="1">
      <c r="E89" s="617" t="s">
        <v>517</v>
      </c>
      <c r="F89" s="171"/>
      <c r="G89" s="172"/>
      <c r="H89" s="138"/>
      <c r="I89" s="665"/>
      <c r="J89" s="75"/>
      <c r="K89" s="75"/>
      <c r="L89" s="75"/>
      <c r="M89" s="75"/>
      <c r="N89" s="75"/>
      <c r="O89" s="78">
        <f>K89+M89-N89</f>
        <v>0</v>
      </c>
      <c r="P89" s="666"/>
    </row>
    <row r="91" spans="1:17" ht="11.25" customHeight="1"/>
    <row r="92" spans="1:17" ht="12" customHeight="1">
      <c r="A92" s="648" t="s">
        <v>2154</v>
      </c>
      <c r="B92" s="648" t="s">
        <v>2155</v>
      </c>
    </row>
    <row r="95" spans="1:17" ht="18.75" customHeight="1">
      <c r="E95" s="617" t="s">
        <v>517</v>
      </c>
      <c r="F95" s="454"/>
      <c r="G95" s="150"/>
      <c r="H95" s="489"/>
      <c r="I95" s="430"/>
      <c r="J95" s="431"/>
      <c r="K95" s="431"/>
      <c r="L95" s="431"/>
      <c r="M95" s="431"/>
      <c r="N95" s="431"/>
      <c r="O95" s="431"/>
      <c r="P95" s="504">
        <f>L95+N95-O95</f>
        <v>0</v>
      </c>
      <c r="Q95" s="667"/>
    </row>
    <row r="97" spans="1:44" ht="12" customHeight="1">
      <c r="A97" s="648" t="s">
        <v>2156</v>
      </c>
      <c r="B97" s="648" t="s">
        <v>483</v>
      </c>
    </row>
    <row r="98" spans="1:44" ht="11.25" customHeight="1">
      <c r="E98" s="617" t="s">
        <v>517</v>
      </c>
      <c r="F98" s="474"/>
      <c r="G98" s="150"/>
      <c r="H98" s="167"/>
      <c r="I98" s="668"/>
      <c r="J98" s="90"/>
      <c r="K98" s="75"/>
      <c r="L98" s="668"/>
      <c r="M98" s="75"/>
      <c r="N98" s="75"/>
      <c r="O98" s="668"/>
      <c r="P98" s="75"/>
      <c r="Q98" s="75"/>
      <c r="R98" s="668"/>
      <c r="S98" s="75"/>
      <c r="U98" s="138"/>
      <c r="W98" s="138"/>
    </row>
    <row r="99" spans="1:44" ht="11.25" customHeight="1"/>
    <row r="100" spans="1:44" ht="12" customHeight="1">
      <c r="A100" s="648" t="s">
        <v>2157</v>
      </c>
    </row>
    <row r="101" spans="1:44" ht="18.75" customHeight="1">
      <c r="E101" s="617" t="s">
        <v>517</v>
      </c>
      <c r="F101" s="47"/>
      <c r="G101" s="150"/>
      <c r="H101" s="489"/>
      <c r="I101" s="352"/>
      <c r="J101" s="75"/>
      <c r="K101" s="75"/>
      <c r="L101" s="75"/>
      <c r="M101" s="75"/>
      <c r="N101" s="75"/>
      <c r="O101" s="75">
        <f>K101*J101/1000</f>
        <v>0</v>
      </c>
    </row>
    <row r="103" spans="1:44" ht="11.25" customHeight="1">
      <c r="A103" s="669" t="s">
        <v>2158</v>
      </c>
      <c r="B103" s="669" t="s">
        <v>468</v>
      </c>
      <c r="C103" s="670" t="s">
        <v>2159</v>
      </c>
    </row>
    <row r="104" spans="1:44" ht="11.25" customHeight="1"/>
    <row r="105" spans="1:44" ht="11.25" customHeight="1"/>
    <row r="106" spans="1:44" ht="12" customHeight="1">
      <c r="C106" s="671">
        <f>H106</f>
        <v>0</v>
      </c>
      <c r="E106" s="781"/>
      <c r="F106" s="617" t="s">
        <v>517</v>
      </c>
      <c r="G106" s="1139"/>
      <c r="H106" s="1164"/>
      <c r="I106" s="1139"/>
      <c r="J106" s="1139"/>
      <c r="K106" s="672"/>
      <c r="L106" s="446" t="s">
        <v>920</v>
      </c>
      <c r="M106" s="446"/>
      <c r="N106" s="446"/>
      <c r="O106" s="446"/>
      <c r="P106" s="446" t="s">
        <v>1036</v>
      </c>
      <c r="Q106" s="446"/>
      <c r="R106" s="445"/>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7"/>
      <c r="AP106" s="673"/>
      <c r="AR106" s="673"/>
    </row>
    <row r="107" spans="1:44" ht="12" customHeight="1">
      <c r="C107" s="671">
        <f>C106</f>
        <v>0</v>
      </c>
      <c r="E107" s="781"/>
      <c r="G107" s="1140"/>
      <c r="H107" s="1165"/>
      <c r="I107" s="1140"/>
      <c r="J107" s="1140"/>
      <c r="K107" s="674"/>
      <c r="L107" s="449"/>
      <c r="M107" s="449"/>
      <c r="N107" s="449"/>
      <c r="O107" s="449"/>
      <c r="P107" s="1178" t="s">
        <v>1992</v>
      </c>
      <c r="Q107" s="1178"/>
      <c r="R107" s="1178"/>
      <c r="S107" s="1178"/>
      <c r="T107" s="450"/>
      <c r="U107" s="450"/>
      <c r="V107" s="451"/>
      <c r="W107" s="451"/>
      <c r="X107" s="451"/>
      <c r="Y107" s="451"/>
      <c r="Z107" s="451"/>
      <c r="AA107" s="451"/>
      <c r="AB107" s="451"/>
      <c r="AC107" s="451"/>
      <c r="AD107" s="451"/>
      <c r="AE107" s="451"/>
      <c r="AF107" s="451"/>
      <c r="AG107" s="451"/>
      <c r="AH107" s="451"/>
      <c r="AI107" s="451"/>
      <c r="AJ107" s="450"/>
      <c r="AK107" s="451"/>
      <c r="AL107" s="451"/>
      <c r="AM107" s="450"/>
      <c r="AN107" s="451"/>
      <c r="AO107" s="447"/>
      <c r="AP107" s="448"/>
      <c r="AR107" s="448"/>
    </row>
    <row r="108" spans="1:44" ht="12" customHeight="1">
      <c r="C108" s="671">
        <f>C107</f>
        <v>0</v>
      </c>
      <c r="E108" s="781"/>
      <c r="G108" s="1140"/>
      <c r="H108" s="1165"/>
      <c r="I108" s="1140"/>
      <c r="J108" s="1140"/>
      <c r="K108" s="672"/>
      <c r="L108" s="446" t="s">
        <v>1986</v>
      </c>
      <c r="M108" s="446"/>
      <c r="N108" s="446"/>
      <c r="O108" s="446"/>
      <c r="P108" s="446" t="s">
        <v>1993</v>
      </c>
      <c r="Q108" s="446"/>
      <c r="R108" s="445"/>
      <c r="S108" s="441"/>
      <c r="T108" s="441"/>
      <c r="U108" s="441"/>
      <c r="V108" s="441"/>
      <c r="W108" s="441"/>
      <c r="X108" s="441"/>
      <c r="Y108" s="441"/>
      <c r="Z108" s="441"/>
      <c r="AA108" s="441"/>
      <c r="AB108" s="441"/>
      <c r="AC108" s="441"/>
      <c r="AD108" s="441"/>
      <c r="AE108" s="441"/>
      <c r="AF108" s="441"/>
      <c r="AG108" s="441"/>
      <c r="AH108" s="441"/>
      <c r="AI108" s="441"/>
      <c r="AJ108" s="441"/>
      <c r="AK108" s="441"/>
      <c r="AL108" s="441"/>
      <c r="AM108" s="441"/>
      <c r="AN108" s="441"/>
      <c r="AO108" s="447"/>
      <c r="AP108" s="673"/>
      <c r="AR108" s="673"/>
    </row>
    <row r="109" spans="1:44" ht="12" customHeight="1">
      <c r="C109" s="671">
        <f>C108</f>
        <v>0</v>
      </c>
      <c r="E109" s="781"/>
      <c r="G109" s="1141"/>
      <c r="H109" s="1166"/>
      <c r="I109" s="1141"/>
      <c r="J109" s="1141"/>
      <c r="K109" s="674"/>
      <c r="L109" s="449"/>
      <c r="M109" s="449"/>
      <c r="N109" s="449"/>
      <c r="O109" s="449"/>
      <c r="P109" s="1178" t="s">
        <v>1994</v>
      </c>
      <c r="Q109" s="1178"/>
      <c r="R109" s="1178"/>
      <c r="S109" s="1178"/>
      <c r="T109" s="450"/>
      <c r="U109" s="450"/>
      <c r="V109" s="451"/>
      <c r="W109" s="451"/>
      <c r="X109" s="451"/>
      <c r="Y109" s="451"/>
      <c r="Z109" s="451"/>
      <c r="AA109" s="451"/>
      <c r="AB109" s="451"/>
      <c r="AC109" s="451"/>
      <c r="AD109" s="451"/>
      <c r="AE109" s="451"/>
      <c r="AF109" s="451"/>
      <c r="AG109" s="451"/>
      <c r="AH109" s="451"/>
      <c r="AI109" s="451"/>
      <c r="AJ109" s="450"/>
      <c r="AK109" s="451"/>
      <c r="AL109" s="451"/>
      <c r="AM109" s="450"/>
      <c r="AN109" s="451"/>
      <c r="AO109" s="447"/>
      <c r="AP109" s="448"/>
      <c r="AR109" s="448"/>
    </row>
    <row r="110" spans="1:44" ht="11.25" customHeight="1"/>
    <row r="111" spans="1:44" ht="11.25" customHeight="1"/>
    <row r="112" spans="1:44" ht="11.25" customHeight="1"/>
    <row r="113" spans="1:44" ht="11.25" customHeight="1">
      <c r="A113" s="669" t="s">
        <v>2160</v>
      </c>
      <c r="B113" s="669" t="s">
        <v>468</v>
      </c>
      <c r="C113" s="670" t="s">
        <v>2159</v>
      </c>
    </row>
    <row r="114" spans="1:44" ht="11.25" customHeight="1"/>
    <row r="115" spans="1:44" ht="11.25" customHeight="1"/>
    <row r="116" spans="1:44" ht="11.25" customHeight="1"/>
    <row r="117" spans="1:44" ht="14.25" customHeight="1">
      <c r="C117" s="675">
        <f t="shared" ref="C117:C125" si="12">C116</f>
        <v>0</v>
      </c>
      <c r="D117" s="676" t="str">
        <f>C117&amp;" - "&amp;"I - "&amp;P117&amp;" - "&amp;R117</f>
        <v>0 - I -  - тыс.руб.</v>
      </c>
      <c r="F117" s="677" t="str">
        <f>"I - "&amp;P117&amp;" - "&amp;R117</f>
        <v>I -  - тыс.руб.</v>
      </c>
      <c r="G117" s="678"/>
      <c r="H117" s="678"/>
      <c r="I117" s="678"/>
      <c r="J117" s="678"/>
      <c r="K117" s="483"/>
      <c r="L117" s="1139" t="s">
        <v>618</v>
      </c>
      <c r="M117" s="1139"/>
      <c r="N117" s="679" t="s">
        <v>517</v>
      </c>
      <c r="O117" s="43" t="str">
        <f>L117</f>
        <v>1.1</v>
      </c>
      <c r="P117" s="172"/>
      <c r="Q117" s="483"/>
      <c r="R117" s="47" t="s">
        <v>619</v>
      </c>
      <c r="S117" s="160">
        <f>SUM(S118:S119)</f>
        <v>0</v>
      </c>
      <c r="T117" s="177"/>
      <c r="U117" s="161">
        <f t="shared" ref="U117:AI117" si="13">SUM(U118:U119)</f>
        <v>0</v>
      </c>
      <c r="V117" s="78">
        <f t="shared" si="13"/>
        <v>0</v>
      </c>
      <c r="W117" s="78">
        <f t="shared" si="13"/>
        <v>0</v>
      </c>
      <c r="X117" s="78">
        <f t="shared" si="13"/>
        <v>0</v>
      </c>
      <c r="Y117" s="78">
        <f t="shared" si="13"/>
        <v>0</v>
      </c>
      <c r="Z117" s="78">
        <f t="shared" si="13"/>
        <v>0</v>
      </c>
      <c r="AA117" s="78">
        <f t="shared" si="13"/>
        <v>0</v>
      </c>
      <c r="AB117" s="78">
        <f t="shared" si="13"/>
        <v>0</v>
      </c>
      <c r="AC117" s="78">
        <f t="shared" si="13"/>
        <v>0</v>
      </c>
      <c r="AD117" s="78">
        <f t="shared" si="13"/>
        <v>0</v>
      </c>
      <c r="AE117" s="78">
        <f t="shared" si="13"/>
        <v>0</v>
      </c>
      <c r="AF117" s="78">
        <f t="shared" si="13"/>
        <v>0</v>
      </c>
      <c r="AG117" s="78">
        <f t="shared" si="13"/>
        <v>0</v>
      </c>
      <c r="AH117" s="78">
        <f t="shared" si="13"/>
        <v>0</v>
      </c>
      <c r="AI117" s="78">
        <f t="shared" si="13"/>
        <v>0</v>
      </c>
      <c r="AJ117" s="177"/>
      <c r="AK117" s="78">
        <f>SUM(AK118:AK119)</f>
        <v>0</v>
      </c>
      <c r="AL117" s="78">
        <f>SUM(AL118:AL119)</f>
        <v>0</v>
      </c>
      <c r="AM117" s="177"/>
      <c r="AN117" s="78">
        <f>SUM(AN118:AN119)</f>
        <v>0</v>
      </c>
      <c r="AP117" s="673"/>
      <c r="AR117" s="673"/>
    </row>
    <row r="118" spans="1:44" ht="14.25" customHeight="1" outlineLevel="1">
      <c r="C118" s="675">
        <f t="shared" si="12"/>
        <v>0</v>
      </c>
      <c r="D118" s="676" t="str">
        <f>C116&amp;" - "&amp;"I - "&amp;P117&amp;" - "&amp;R118&amp;" - 1"</f>
        <v xml:space="preserve"> - I -  - тыс.руб. - 1</v>
      </c>
      <c r="F118" s="677" t="str">
        <f>"I - "&amp;P117&amp;" - "&amp;R118&amp;" - 1"</f>
        <v>I -  - тыс.руб. - 1</v>
      </c>
      <c r="G118" s="678"/>
      <c r="H118" s="678"/>
      <c r="I118" s="678"/>
      <c r="J118" s="678"/>
      <c r="K118" s="483"/>
      <c r="L118" s="1140"/>
      <c r="M118" s="1140"/>
      <c r="N118" s="680"/>
      <c r="O118" s="43" t="str">
        <f>O117&amp;".I"</f>
        <v>1.1.I</v>
      </c>
      <c r="P118" s="65" t="s">
        <v>1975</v>
      </c>
      <c r="Q118" s="483"/>
      <c r="R118" s="47" t="s">
        <v>619</v>
      </c>
      <c r="S118" s="160">
        <f>S121*S124</f>
        <v>0</v>
      </c>
      <c r="T118" s="177"/>
      <c r="U118" s="161">
        <f>U121*U124</f>
        <v>0</v>
      </c>
      <c r="V118" s="78">
        <f>SUM(W118:AH118)</f>
        <v>0</v>
      </c>
      <c r="W118" s="78">
        <f t="shared" ref="W118:AB118" si="14">W121*W124</f>
        <v>0</v>
      </c>
      <c r="X118" s="78">
        <f t="shared" si="14"/>
        <v>0</v>
      </c>
      <c r="Y118" s="78">
        <f t="shared" si="14"/>
        <v>0</v>
      </c>
      <c r="Z118" s="78">
        <f t="shared" si="14"/>
        <v>0</v>
      </c>
      <c r="AA118" s="78">
        <f t="shared" si="14"/>
        <v>0</v>
      </c>
      <c r="AB118" s="78">
        <f t="shared" si="14"/>
        <v>0</v>
      </c>
      <c r="AC118" s="681"/>
      <c r="AD118" s="681"/>
      <c r="AE118" s="681"/>
      <c r="AF118" s="681"/>
      <c r="AG118" s="681"/>
      <c r="AH118" s="681"/>
      <c r="AI118" s="78">
        <f>AI121*AI124</f>
        <v>0</v>
      </c>
      <c r="AJ118" s="177"/>
      <c r="AK118" s="78">
        <f>AK121*AK124</f>
        <v>0</v>
      </c>
      <c r="AL118" s="75"/>
      <c r="AM118" s="177"/>
      <c r="AN118" s="78">
        <f>AN121*AN124</f>
        <v>0</v>
      </c>
      <c r="AP118" s="673"/>
      <c r="AR118" s="673"/>
    </row>
    <row r="119" spans="1:44" ht="14.25" customHeight="1" outlineLevel="1">
      <c r="C119" s="675">
        <f t="shared" si="12"/>
        <v>0</v>
      </c>
      <c r="D119" s="676" t="str">
        <f>C116&amp;" - "&amp;"I - "&amp;P117&amp;" - "&amp;R119&amp;" - 2"</f>
        <v xml:space="preserve"> - I -  - тыс.руб. - 2</v>
      </c>
      <c r="F119" s="677" t="str">
        <f>"I - "&amp;P117&amp;" - "&amp;R119&amp;" - 2"</f>
        <v>I -  - тыс.руб. - 2</v>
      </c>
      <c r="G119" s="678"/>
      <c r="H119" s="678"/>
      <c r="I119" s="678"/>
      <c r="J119" s="678"/>
      <c r="K119" s="483"/>
      <c r="L119" s="1140"/>
      <c r="M119" s="1140"/>
      <c r="N119" s="680"/>
      <c r="O119" s="43" t="str">
        <f>O117&amp;".II"</f>
        <v>1.1.II</v>
      </c>
      <c r="P119" s="65" t="s">
        <v>1976</v>
      </c>
      <c r="Q119" s="483"/>
      <c r="R119" s="47" t="s">
        <v>619</v>
      </c>
      <c r="S119" s="160">
        <f>S122*S125</f>
        <v>0</v>
      </c>
      <c r="T119" s="177"/>
      <c r="U119" s="161">
        <f>U122*U125</f>
        <v>0</v>
      </c>
      <c r="V119" s="78">
        <f>SUM(W119:AH119)</f>
        <v>0</v>
      </c>
      <c r="W119" s="681"/>
      <c r="X119" s="681"/>
      <c r="Y119" s="681"/>
      <c r="Z119" s="681"/>
      <c r="AA119" s="681"/>
      <c r="AB119" s="681"/>
      <c r="AC119" s="78">
        <f t="shared" ref="AC119:AH119" si="15">AC122*AC125</f>
        <v>0</v>
      </c>
      <c r="AD119" s="78">
        <f t="shared" si="15"/>
        <v>0</v>
      </c>
      <c r="AE119" s="78">
        <f t="shared" si="15"/>
        <v>0</v>
      </c>
      <c r="AF119" s="78">
        <f t="shared" si="15"/>
        <v>0</v>
      </c>
      <c r="AG119" s="78">
        <f t="shared" si="15"/>
        <v>0</v>
      </c>
      <c r="AH119" s="78">
        <f t="shared" si="15"/>
        <v>0</v>
      </c>
      <c r="AI119" s="78">
        <f>AI122*AI125</f>
        <v>0</v>
      </c>
      <c r="AJ119" s="177"/>
      <c r="AK119" s="78">
        <f>AK122*AK125</f>
        <v>0</v>
      </c>
      <c r="AL119" s="75"/>
      <c r="AM119" s="177"/>
      <c r="AN119" s="78">
        <f>AN122*AN125</f>
        <v>0</v>
      </c>
      <c r="AP119" s="673"/>
      <c r="AR119" s="673"/>
    </row>
    <row r="120" spans="1:44" ht="14.25" customHeight="1" outlineLevel="1">
      <c r="C120" s="675">
        <f t="shared" si="12"/>
        <v>0</v>
      </c>
      <c r="D120" s="676" t="str">
        <f>C120&amp;" - "&amp;"I - "&amp;P117&amp;" - "&amp;R120</f>
        <v>0 - I -  - руб./кВтч</v>
      </c>
      <c r="F120" s="677" t="str">
        <f>"I - "&amp;P117&amp;" - "&amp;R120</f>
        <v>I -  - руб./кВтч</v>
      </c>
      <c r="G120" s="678"/>
      <c r="H120" s="678"/>
      <c r="I120" s="678"/>
      <c r="J120" s="678"/>
      <c r="K120" s="483"/>
      <c r="L120" s="1140"/>
      <c r="M120" s="1140"/>
      <c r="N120" s="680"/>
      <c r="O120" s="43" t="str">
        <f>O117&amp;".1"</f>
        <v>1.1.1</v>
      </c>
      <c r="P120" s="65" t="s">
        <v>1977</v>
      </c>
      <c r="Q120" s="483"/>
      <c r="R120" s="47" t="s">
        <v>1978</v>
      </c>
      <c r="S120" s="160">
        <f>IF(S123=0,0,S117/S123)</f>
        <v>0</v>
      </c>
      <c r="T120" s="177"/>
      <c r="U120" s="161">
        <f t="shared" ref="U120:AI120" si="16">IF(U123=0,0,U117/U123)</f>
        <v>0</v>
      </c>
      <c r="V120" s="78">
        <f t="shared" si="16"/>
        <v>0</v>
      </c>
      <c r="W120" s="78">
        <f t="shared" si="16"/>
        <v>0</v>
      </c>
      <c r="X120" s="78">
        <f t="shared" si="16"/>
        <v>0</v>
      </c>
      <c r="Y120" s="78">
        <f t="shared" si="16"/>
        <v>0</v>
      </c>
      <c r="Z120" s="78">
        <f t="shared" si="16"/>
        <v>0</v>
      </c>
      <c r="AA120" s="78">
        <f t="shared" si="16"/>
        <v>0</v>
      </c>
      <c r="AB120" s="78">
        <f t="shared" si="16"/>
        <v>0</v>
      </c>
      <c r="AC120" s="78">
        <f t="shared" si="16"/>
        <v>0</v>
      </c>
      <c r="AD120" s="78">
        <f t="shared" si="16"/>
        <v>0</v>
      </c>
      <c r="AE120" s="78">
        <f t="shared" si="16"/>
        <v>0</v>
      </c>
      <c r="AF120" s="78">
        <f t="shared" si="16"/>
        <v>0</v>
      </c>
      <c r="AG120" s="78">
        <f t="shared" si="16"/>
        <v>0</v>
      </c>
      <c r="AH120" s="78">
        <f t="shared" si="16"/>
        <v>0</v>
      </c>
      <c r="AI120" s="78">
        <f t="shared" si="16"/>
        <v>0</v>
      </c>
      <c r="AJ120" s="177"/>
      <c r="AK120" s="78">
        <f>IF(AK123=0,0,AK117/AK123)</f>
        <v>0</v>
      </c>
      <c r="AL120" s="78">
        <f>IF(AL123=0,0,AL117/AL123)</f>
        <v>0</v>
      </c>
      <c r="AM120" s="177"/>
      <c r="AN120" s="78">
        <f>IF(AN123=0,0,AN117/AN123)</f>
        <v>0</v>
      </c>
      <c r="AP120" s="673"/>
      <c r="AR120" s="673"/>
    </row>
    <row r="121" spans="1:44" ht="14.25" customHeight="1" outlineLevel="1">
      <c r="C121" s="675">
        <f t="shared" si="12"/>
        <v>0</v>
      </c>
      <c r="F121" s="677" t="str">
        <f>"I - "&amp;P117&amp;" - "&amp;R121&amp;" - 1"</f>
        <v>I -  - руб./кВтч - 1</v>
      </c>
      <c r="G121" s="678"/>
      <c r="H121" s="678"/>
      <c r="I121" s="678"/>
      <c r="J121" s="678"/>
      <c r="K121" s="483"/>
      <c r="L121" s="1140"/>
      <c r="M121" s="1140"/>
      <c r="N121" s="680"/>
      <c r="O121" s="43" t="str">
        <f>O120&amp;".I"</f>
        <v>1.1.1.I</v>
      </c>
      <c r="P121" s="65" t="s">
        <v>1979</v>
      </c>
      <c r="Q121" s="483"/>
      <c r="R121" s="47" t="s">
        <v>1978</v>
      </c>
      <c r="S121" s="167"/>
      <c r="T121" s="177"/>
      <c r="U121" s="90"/>
      <c r="V121" s="78">
        <f>IF(V124=0,0,V118/V124)</f>
        <v>0</v>
      </c>
      <c r="W121" s="75"/>
      <c r="X121" s="75"/>
      <c r="Y121" s="75"/>
      <c r="Z121" s="75"/>
      <c r="AA121" s="75"/>
      <c r="AB121" s="75"/>
      <c r="AC121" s="681"/>
      <c r="AD121" s="681"/>
      <c r="AE121" s="681"/>
      <c r="AF121" s="681"/>
      <c r="AG121" s="681"/>
      <c r="AH121" s="681"/>
      <c r="AI121" s="75"/>
      <c r="AJ121" s="177"/>
      <c r="AK121" s="75"/>
      <c r="AL121" s="78">
        <f>IF(AL124=0,0,AL118/AL124)</f>
        <v>0</v>
      </c>
      <c r="AM121" s="177"/>
      <c r="AN121" s="75"/>
      <c r="AP121" s="673"/>
      <c r="AR121" s="673"/>
    </row>
    <row r="122" spans="1:44" ht="14.25" customHeight="1" outlineLevel="1">
      <c r="C122" s="675">
        <f t="shared" si="12"/>
        <v>0</v>
      </c>
      <c r="F122" s="677" t="str">
        <f>"I - "&amp;P117&amp;" - "&amp;R122&amp;" - 2"</f>
        <v>I -  - руб./кВтч - 2</v>
      </c>
      <c r="G122" s="678"/>
      <c r="H122" s="678"/>
      <c r="I122" s="678"/>
      <c r="J122" s="678"/>
      <c r="K122" s="483"/>
      <c r="L122" s="1140"/>
      <c r="M122" s="1140"/>
      <c r="N122" s="680"/>
      <c r="O122" s="43" t="str">
        <f>O120&amp;".II"</f>
        <v>1.1.1.II</v>
      </c>
      <c r="P122" s="65" t="s">
        <v>1980</v>
      </c>
      <c r="Q122" s="483"/>
      <c r="R122" s="47" t="s">
        <v>1978</v>
      </c>
      <c r="S122" s="167"/>
      <c r="T122" s="177"/>
      <c r="U122" s="90"/>
      <c r="V122" s="78">
        <f>IF(V125=0,0,V119/V125)</f>
        <v>0</v>
      </c>
      <c r="W122" s="681"/>
      <c r="X122" s="681"/>
      <c r="Y122" s="681"/>
      <c r="Z122" s="681"/>
      <c r="AA122" s="681"/>
      <c r="AB122" s="681"/>
      <c r="AC122" s="75"/>
      <c r="AD122" s="75"/>
      <c r="AE122" s="75"/>
      <c r="AF122" s="75"/>
      <c r="AG122" s="75"/>
      <c r="AH122" s="75"/>
      <c r="AI122" s="75"/>
      <c r="AJ122" s="177"/>
      <c r="AK122" s="75"/>
      <c r="AL122" s="78">
        <f>IF(AL125=0,0,AL119/AL125)</f>
        <v>0</v>
      </c>
      <c r="AM122" s="177"/>
      <c r="AN122" s="75"/>
      <c r="AP122" s="673"/>
      <c r="AR122" s="673"/>
    </row>
    <row r="123" spans="1:44" ht="14.25" customHeight="1" outlineLevel="1">
      <c r="C123" s="675">
        <f t="shared" si="12"/>
        <v>0</v>
      </c>
      <c r="D123" s="676" t="str">
        <f>C123&amp;" - "&amp;"I - "&amp;P117&amp;" - "&amp;R123</f>
        <v>0 - I -  - тыс. кВтч</v>
      </c>
      <c r="F123" s="677" t="str">
        <f>"I - "&amp;P117&amp;" - "&amp;R123</f>
        <v>I -  - тыс. кВтч</v>
      </c>
      <c r="G123" s="678"/>
      <c r="H123" s="678"/>
      <c r="I123" s="678"/>
      <c r="J123" s="678"/>
      <c r="K123" s="483"/>
      <c r="L123" s="1140"/>
      <c r="M123" s="1140"/>
      <c r="N123" s="680"/>
      <c r="O123" s="43" t="str">
        <f>O117&amp;".2"</f>
        <v>1.1.2</v>
      </c>
      <c r="P123" s="65" t="s">
        <v>1982</v>
      </c>
      <c r="Q123" s="483"/>
      <c r="R123" s="47" t="s">
        <v>1983</v>
      </c>
      <c r="S123" s="160">
        <f>SUM(S124:S125)</f>
        <v>0</v>
      </c>
      <c r="T123" s="177"/>
      <c r="U123" s="161">
        <f t="shared" ref="U123:AI123" si="17">SUM(U124:U125)</f>
        <v>0</v>
      </c>
      <c r="V123" s="78">
        <f t="shared" si="17"/>
        <v>0</v>
      </c>
      <c r="W123" s="78">
        <f t="shared" si="17"/>
        <v>0</v>
      </c>
      <c r="X123" s="78">
        <f t="shared" si="17"/>
        <v>0</v>
      </c>
      <c r="Y123" s="78">
        <f t="shared" si="17"/>
        <v>0</v>
      </c>
      <c r="Z123" s="78">
        <f t="shared" si="17"/>
        <v>0</v>
      </c>
      <c r="AA123" s="78">
        <f t="shared" si="17"/>
        <v>0</v>
      </c>
      <c r="AB123" s="78">
        <f t="shared" si="17"/>
        <v>0</v>
      </c>
      <c r="AC123" s="78">
        <f t="shared" si="17"/>
        <v>0</v>
      </c>
      <c r="AD123" s="78">
        <f t="shared" si="17"/>
        <v>0</v>
      </c>
      <c r="AE123" s="78">
        <f t="shared" si="17"/>
        <v>0</v>
      </c>
      <c r="AF123" s="78">
        <f t="shared" si="17"/>
        <v>0</v>
      </c>
      <c r="AG123" s="78">
        <f t="shared" si="17"/>
        <v>0</v>
      </c>
      <c r="AH123" s="78">
        <f t="shared" si="17"/>
        <v>0</v>
      </c>
      <c r="AI123" s="78">
        <f t="shared" si="17"/>
        <v>0</v>
      </c>
      <c r="AJ123" s="177"/>
      <c r="AK123" s="78">
        <f>SUM(AK124:AK125)</f>
        <v>0</v>
      </c>
      <c r="AL123" s="78">
        <f>SUM(AL124:AL125)</f>
        <v>0</v>
      </c>
      <c r="AM123" s="177"/>
      <c r="AN123" s="78">
        <f>SUM(AN124:AN125)</f>
        <v>0</v>
      </c>
      <c r="AP123" s="673"/>
      <c r="AR123" s="673"/>
    </row>
    <row r="124" spans="1:44" ht="14.25" customHeight="1" outlineLevel="1">
      <c r="C124" s="675">
        <f t="shared" si="12"/>
        <v>0</v>
      </c>
      <c r="D124" s="676" t="str">
        <f>C116&amp;" - "&amp;"I - "&amp;P117&amp;" - "&amp;R124&amp;" - 1"</f>
        <v xml:space="preserve"> - I -  - тыс. кВтч - 1</v>
      </c>
      <c r="F124" s="677" t="str">
        <f>"I - "&amp;P117&amp;" - "&amp;R124&amp;" - 1"</f>
        <v>I -  - тыс. кВтч - 1</v>
      </c>
      <c r="G124" s="678"/>
      <c r="H124" s="678"/>
      <c r="I124" s="678"/>
      <c r="J124" s="678"/>
      <c r="K124" s="483"/>
      <c r="L124" s="1140"/>
      <c r="M124" s="1140"/>
      <c r="N124" s="680"/>
      <c r="O124" s="43" t="str">
        <f>O123&amp;".I"</f>
        <v>1.1.2.I</v>
      </c>
      <c r="P124" s="65" t="s">
        <v>1984</v>
      </c>
      <c r="Q124" s="483"/>
      <c r="R124" s="47" t="s">
        <v>1983</v>
      </c>
      <c r="S124" s="167"/>
      <c r="T124" s="177"/>
      <c r="U124" s="90"/>
      <c r="V124" s="78">
        <f>SUM(W124:AH124)</f>
        <v>0</v>
      </c>
      <c r="W124" s="75"/>
      <c r="X124" s="75"/>
      <c r="Y124" s="75"/>
      <c r="Z124" s="75"/>
      <c r="AA124" s="75"/>
      <c r="AB124" s="75"/>
      <c r="AC124" s="681"/>
      <c r="AD124" s="681"/>
      <c r="AE124" s="681"/>
      <c r="AF124" s="681"/>
      <c r="AG124" s="681"/>
      <c r="AH124" s="681"/>
      <c r="AI124" s="75"/>
      <c r="AJ124" s="177"/>
      <c r="AK124" s="75"/>
      <c r="AL124" s="75"/>
      <c r="AM124" s="177"/>
      <c r="AN124" s="75"/>
      <c r="AP124" s="673"/>
      <c r="AR124" s="673"/>
    </row>
    <row r="125" spans="1:44" ht="14.25" customHeight="1" outlineLevel="1">
      <c r="C125" s="675">
        <f t="shared" si="12"/>
        <v>0</v>
      </c>
      <c r="D125" s="676" t="str">
        <f>C116&amp;" - "&amp;"I - "&amp;P117&amp;" - "&amp;R125&amp;" - 2"</f>
        <v xml:space="preserve"> - I -  - тыс. кВтч - 2</v>
      </c>
      <c r="F125" s="677" t="str">
        <f>"I - "&amp;P117&amp;" - "&amp;R125&amp;" - 2"</f>
        <v>I -  - тыс. кВтч - 2</v>
      </c>
      <c r="G125" s="678"/>
      <c r="H125" s="678"/>
      <c r="I125" s="678"/>
      <c r="J125" s="678"/>
      <c r="K125" s="483"/>
      <c r="L125" s="1141"/>
      <c r="M125" s="1141"/>
      <c r="N125" s="682"/>
      <c r="O125" s="43" t="str">
        <f>O123&amp;".II"</f>
        <v>1.1.2.II</v>
      </c>
      <c r="P125" s="65" t="s">
        <v>1985</v>
      </c>
      <c r="Q125" s="483"/>
      <c r="R125" s="47" t="s">
        <v>1983</v>
      </c>
      <c r="S125" s="167"/>
      <c r="T125" s="177"/>
      <c r="U125" s="90"/>
      <c r="V125" s="78">
        <f>SUM(W125:AH125)</f>
        <v>0</v>
      </c>
      <c r="W125" s="681"/>
      <c r="X125" s="681"/>
      <c r="Y125" s="681"/>
      <c r="Z125" s="681"/>
      <c r="AA125" s="681"/>
      <c r="AB125" s="681"/>
      <c r="AC125" s="75"/>
      <c r="AD125" s="75"/>
      <c r="AE125" s="75"/>
      <c r="AF125" s="75"/>
      <c r="AG125" s="75"/>
      <c r="AH125" s="75"/>
      <c r="AI125" s="75"/>
      <c r="AJ125" s="177"/>
      <c r="AK125" s="75"/>
      <c r="AL125" s="75"/>
      <c r="AM125" s="177"/>
      <c r="AN125" s="75"/>
      <c r="AP125" s="673"/>
      <c r="AR125" s="673"/>
    </row>
    <row r="131" spans="1:44" ht="11.25" customHeight="1">
      <c r="A131" s="669" t="s">
        <v>2161</v>
      </c>
      <c r="B131" s="669" t="s">
        <v>468</v>
      </c>
      <c r="C131" s="670" t="s">
        <v>2159</v>
      </c>
    </row>
    <row r="132" spans="1:44" ht="11.25" customHeight="1"/>
    <row r="133" spans="1:44" ht="11.25" customHeight="1"/>
    <row r="134" spans="1:44" ht="14.25" customHeight="1">
      <c r="C134" s="675">
        <f t="shared" ref="C134:C152" si="18">C133</f>
        <v>0</v>
      </c>
      <c r="D134" s="683">
        <v>0</v>
      </c>
      <c r="F134" s="677" t="str">
        <f>"II - "&amp;P134&amp;" - "&amp;R134</f>
        <v>II -  - тыс.руб.</v>
      </c>
      <c r="G134" s="678"/>
      <c r="H134" s="678"/>
      <c r="I134" s="678"/>
      <c r="J134" s="678"/>
      <c r="K134" s="483"/>
      <c r="L134" s="1139" t="s">
        <v>622</v>
      </c>
      <c r="M134" s="1139"/>
      <c r="N134" s="679" t="s">
        <v>517</v>
      </c>
      <c r="O134" s="156" t="str">
        <f>L134</f>
        <v>1.2</v>
      </c>
      <c r="P134" s="172"/>
      <c r="Q134" s="483"/>
      <c r="R134" s="47" t="s">
        <v>619</v>
      </c>
      <c r="S134" s="78">
        <f>S135+S144</f>
        <v>0</v>
      </c>
      <c r="T134" s="177"/>
      <c r="U134" s="78">
        <f t="shared" ref="U134:AI134" si="19">U135+U144</f>
        <v>0</v>
      </c>
      <c r="V134" s="78">
        <f t="shared" si="19"/>
        <v>0</v>
      </c>
      <c r="W134" s="78">
        <f t="shared" si="19"/>
        <v>0</v>
      </c>
      <c r="X134" s="78">
        <f t="shared" si="19"/>
        <v>0</v>
      </c>
      <c r="Y134" s="78">
        <f t="shared" si="19"/>
        <v>0</v>
      </c>
      <c r="Z134" s="78">
        <f t="shared" si="19"/>
        <v>0</v>
      </c>
      <c r="AA134" s="78">
        <f t="shared" si="19"/>
        <v>0</v>
      </c>
      <c r="AB134" s="78">
        <f t="shared" si="19"/>
        <v>0</v>
      </c>
      <c r="AC134" s="78">
        <f t="shared" si="19"/>
        <v>0</v>
      </c>
      <c r="AD134" s="78">
        <f t="shared" si="19"/>
        <v>0</v>
      </c>
      <c r="AE134" s="78">
        <f t="shared" si="19"/>
        <v>0</v>
      </c>
      <c r="AF134" s="78">
        <f t="shared" si="19"/>
        <v>0</v>
      </c>
      <c r="AG134" s="78">
        <f t="shared" si="19"/>
        <v>0</v>
      </c>
      <c r="AH134" s="78">
        <f t="shared" si="19"/>
        <v>0</v>
      </c>
      <c r="AI134" s="78">
        <f t="shared" si="19"/>
        <v>0</v>
      </c>
      <c r="AJ134" s="177"/>
      <c r="AK134" s="78">
        <f>AK135+AK144</f>
        <v>0</v>
      </c>
      <c r="AL134" s="78">
        <f>AL135+AL144</f>
        <v>0</v>
      </c>
      <c r="AM134" s="177"/>
      <c r="AN134" s="78">
        <f>AN135+AN144</f>
        <v>0</v>
      </c>
      <c r="AP134" s="673"/>
      <c r="AR134" s="673"/>
    </row>
    <row r="135" spans="1:44" ht="14.25" customHeight="1" outlineLevel="1">
      <c r="C135" s="675">
        <f t="shared" si="18"/>
        <v>0</v>
      </c>
      <c r="D135" s="676" t="str">
        <f>C135&amp;" - "&amp;"II - "&amp;P134&amp;" - "&amp;R135&amp;" - э"</f>
        <v>0 - II -  - тыс.руб. - э</v>
      </c>
      <c r="F135" s="677" t="str">
        <f>"II - "&amp;P134&amp;" - "&amp;R135&amp;" - э"</f>
        <v>II -  - тыс.руб. - э</v>
      </c>
      <c r="G135" s="678"/>
      <c r="H135" s="678"/>
      <c r="I135" s="678"/>
      <c r="J135" s="678"/>
      <c r="K135" s="483"/>
      <c r="L135" s="1140"/>
      <c r="M135" s="1140"/>
      <c r="N135" s="680"/>
      <c r="O135" s="684" t="str">
        <f>O134&amp;".1"</f>
        <v>1.2.1</v>
      </c>
      <c r="P135" s="685" t="s">
        <v>918</v>
      </c>
      <c r="Q135" s="483"/>
      <c r="R135" s="51" t="s">
        <v>619</v>
      </c>
      <c r="S135" s="78">
        <f>S136+S137</f>
        <v>0</v>
      </c>
      <c r="T135" s="177"/>
      <c r="U135" s="78">
        <f t="shared" ref="U135:AI135" si="20">U136+U137</f>
        <v>0</v>
      </c>
      <c r="V135" s="78">
        <f t="shared" si="20"/>
        <v>0</v>
      </c>
      <c r="W135" s="78">
        <f t="shared" si="20"/>
        <v>0</v>
      </c>
      <c r="X135" s="78">
        <f t="shared" si="20"/>
        <v>0</v>
      </c>
      <c r="Y135" s="78">
        <f t="shared" si="20"/>
        <v>0</v>
      </c>
      <c r="Z135" s="78">
        <f t="shared" si="20"/>
        <v>0</v>
      </c>
      <c r="AA135" s="78">
        <f t="shared" si="20"/>
        <v>0</v>
      </c>
      <c r="AB135" s="78">
        <f t="shared" si="20"/>
        <v>0</v>
      </c>
      <c r="AC135" s="78">
        <f t="shared" si="20"/>
        <v>0</v>
      </c>
      <c r="AD135" s="78">
        <f t="shared" si="20"/>
        <v>0</v>
      </c>
      <c r="AE135" s="78">
        <f t="shared" si="20"/>
        <v>0</v>
      </c>
      <c r="AF135" s="78">
        <f t="shared" si="20"/>
        <v>0</v>
      </c>
      <c r="AG135" s="78">
        <f t="shared" si="20"/>
        <v>0</v>
      </c>
      <c r="AH135" s="78">
        <f t="shared" si="20"/>
        <v>0</v>
      </c>
      <c r="AI135" s="78">
        <f t="shared" si="20"/>
        <v>0</v>
      </c>
      <c r="AJ135" s="177"/>
      <c r="AK135" s="78">
        <f>AK136+AK137</f>
        <v>0</v>
      </c>
      <c r="AL135" s="78">
        <f>AL136+AL137</f>
        <v>0</v>
      </c>
      <c r="AM135" s="177"/>
      <c r="AN135" s="78">
        <f>AN136+AN137</f>
        <v>0</v>
      </c>
      <c r="AP135" s="673"/>
      <c r="AR135" s="673"/>
    </row>
    <row r="136" spans="1:44" ht="14.25" customHeight="1" outlineLevel="1">
      <c r="C136" s="675">
        <f t="shared" si="18"/>
        <v>0</v>
      </c>
      <c r="D136" s="676" t="str">
        <f>C136&amp;" - "&amp;"II - "&amp;P134&amp;" - "&amp;R136&amp;" - э - 1"</f>
        <v>0 - II -  - тыс.руб. - э - 1</v>
      </c>
      <c r="F136" s="677" t="str">
        <f>"II - "&amp;P134&amp;" - "&amp;R136&amp;" - э - 1"</f>
        <v>II -  - тыс.руб. - э - 1</v>
      </c>
      <c r="G136" s="678"/>
      <c r="H136" s="678"/>
      <c r="I136" s="678"/>
      <c r="J136" s="678"/>
      <c r="K136" s="483"/>
      <c r="L136" s="1140"/>
      <c r="M136" s="1140"/>
      <c r="N136" s="680"/>
      <c r="O136" s="684" t="str">
        <f>O135&amp;".I"</f>
        <v>1.2.1.I</v>
      </c>
      <c r="P136" s="65" t="s">
        <v>1975</v>
      </c>
      <c r="Q136" s="483"/>
      <c r="R136" s="51" t="s">
        <v>619</v>
      </c>
      <c r="S136" s="78">
        <f>S139*S142</f>
        <v>0</v>
      </c>
      <c r="T136" s="177"/>
      <c r="U136" s="78">
        <f>U139*U142</f>
        <v>0</v>
      </c>
      <c r="V136" s="78">
        <f>SUM(W136:AH136)</f>
        <v>0</v>
      </c>
      <c r="W136" s="78">
        <f t="shared" ref="W136:AB136" si="21">W139*W142</f>
        <v>0</v>
      </c>
      <c r="X136" s="78">
        <f t="shared" si="21"/>
        <v>0</v>
      </c>
      <c r="Y136" s="78">
        <f t="shared" si="21"/>
        <v>0</v>
      </c>
      <c r="Z136" s="78">
        <f t="shared" si="21"/>
        <v>0</v>
      </c>
      <c r="AA136" s="78">
        <f t="shared" si="21"/>
        <v>0</v>
      </c>
      <c r="AB136" s="78">
        <f t="shared" si="21"/>
        <v>0</v>
      </c>
      <c r="AC136" s="681"/>
      <c r="AD136" s="681"/>
      <c r="AE136" s="681"/>
      <c r="AF136" s="681"/>
      <c r="AG136" s="681"/>
      <c r="AH136" s="681"/>
      <c r="AI136" s="78">
        <f>AI139*AI142</f>
        <v>0</v>
      </c>
      <c r="AJ136" s="177"/>
      <c r="AK136" s="78">
        <f>AK139*AK142</f>
        <v>0</v>
      </c>
      <c r="AL136" s="75"/>
      <c r="AM136" s="177"/>
      <c r="AN136" s="78">
        <f>AN139*AN142</f>
        <v>0</v>
      </c>
      <c r="AP136" s="673"/>
      <c r="AR136" s="673"/>
    </row>
    <row r="137" spans="1:44" ht="14.25" customHeight="1" outlineLevel="1">
      <c r="C137" s="675">
        <f t="shared" si="18"/>
        <v>0</v>
      </c>
      <c r="D137" s="676" t="str">
        <f>C137&amp;" - "&amp;"II - "&amp;P134&amp;" - "&amp;R137&amp;" - э - 2"</f>
        <v>0 - II -  - тыс.руб. - э - 2</v>
      </c>
      <c r="F137" s="677" t="str">
        <f>"II - "&amp;P134&amp;" - "&amp;R137&amp;" - э - 2"</f>
        <v>II -  - тыс.руб. - э - 2</v>
      </c>
      <c r="G137" s="678"/>
      <c r="H137" s="678"/>
      <c r="I137" s="678"/>
      <c r="J137" s="678"/>
      <c r="K137" s="483"/>
      <c r="L137" s="1140"/>
      <c r="M137" s="1140"/>
      <c r="N137" s="680"/>
      <c r="O137" s="684" t="str">
        <f>O135&amp;".II"</f>
        <v>1.2.1.II</v>
      </c>
      <c r="P137" s="65" t="s">
        <v>1976</v>
      </c>
      <c r="Q137" s="483"/>
      <c r="R137" s="51" t="s">
        <v>619</v>
      </c>
      <c r="S137" s="78">
        <f>S140*S143</f>
        <v>0</v>
      </c>
      <c r="T137" s="177"/>
      <c r="U137" s="78">
        <f>U140*U143</f>
        <v>0</v>
      </c>
      <c r="V137" s="78">
        <f>SUM(W137:AH137)</f>
        <v>0</v>
      </c>
      <c r="W137" s="681"/>
      <c r="X137" s="681"/>
      <c r="Y137" s="681"/>
      <c r="Z137" s="681"/>
      <c r="AA137" s="681"/>
      <c r="AB137" s="681"/>
      <c r="AC137" s="78">
        <f t="shared" ref="AC137:AH137" si="22">AC140*AC143</f>
        <v>0</v>
      </c>
      <c r="AD137" s="78">
        <f t="shared" si="22"/>
        <v>0</v>
      </c>
      <c r="AE137" s="78">
        <f t="shared" si="22"/>
        <v>0</v>
      </c>
      <c r="AF137" s="78">
        <f t="shared" si="22"/>
        <v>0</v>
      </c>
      <c r="AG137" s="78">
        <f t="shared" si="22"/>
        <v>0</v>
      </c>
      <c r="AH137" s="78">
        <f t="shared" si="22"/>
        <v>0</v>
      </c>
      <c r="AI137" s="78">
        <f>AI140*AI143</f>
        <v>0</v>
      </c>
      <c r="AJ137" s="177"/>
      <c r="AK137" s="78">
        <f>AK140*AK143</f>
        <v>0</v>
      </c>
      <c r="AL137" s="75"/>
      <c r="AM137" s="177"/>
      <c r="AN137" s="78">
        <f>AN140*AN143</f>
        <v>0</v>
      </c>
      <c r="AP137" s="673"/>
      <c r="AR137" s="673"/>
    </row>
    <row r="138" spans="1:44" ht="14.25" customHeight="1" outlineLevel="1">
      <c r="C138" s="675">
        <f t="shared" si="18"/>
        <v>0</v>
      </c>
      <c r="D138" s="676" t="str">
        <f>C138&amp;" - "&amp;"II - "&amp;P134&amp;" - "&amp;R138</f>
        <v>0 - II -  - руб./кВтч</v>
      </c>
      <c r="F138" s="677" t="str">
        <f>"II - "&amp;P134&amp;" - "&amp;R138</f>
        <v>II -  - руб./кВтч</v>
      </c>
      <c r="G138" s="678"/>
      <c r="H138" s="678"/>
      <c r="I138" s="678"/>
      <c r="J138" s="678"/>
      <c r="K138" s="483"/>
      <c r="L138" s="1140"/>
      <c r="M138" s="1140"/>
      <c r="N138" s="680"/>
      <c r="O138" s="686" t="str">
        <f>O135&amp;".1"</f>
        <v>1.2.1.1</v>
      </c>
      <c r="P138" s="65" t="s">
        <v>1977</v>
      </c>
      <c r="Q138" s="483"/>
      <c r="R138" s="355" t="s">
        <v>1978</v>
      </c>
      <c r="S138" s="78">
        <f>IF(S141=0,0,S135/S141)</f>
        <v>0</v>
      </c>
      <c r="T138" s="177"/>
      <c r="U138" s="78">
        <f t="shared" ref="U138:AI138" si="23">IF(U141=0,0,U135/U141)</f>
        <v>0</v>
      </c>
      <c r="V138" s="78">
        <f t="shared" si="23"/>
        <v>0</v>
      </c>
      <c r="W138" s="78">
        <f t="shared" si="23"/>
        <v>0</v>
      </c>
      <c r="X138" s="78">
        <f t="shared" si="23"/>
        <v>0</v>
      </c>
      <c r="Y138" s="78">
        <f t="shared" si="23"/>
        <v>0</v>
      </c>
      <c r="Z138" s="78">
        <f t="shared" si="23"/>
        <v>0</v>
      </c>
      <c r="AA138" s="78">
        <f t="shared" si="23"/>
        <v>0</v>
      </c>
      <c r="AB138" s="78">
        <f t="shared" si="23"/>
        <v>0</v>
      </c>
      <c r="AC138" s="78">
        <f t="shared" si="23"/>
        <v>0</v>
      </c>
      <c r="AD138" s="78">
        <f t="shared" si="23"/>
        <v>0</v>
      </c>
      <c r="AE138" s="78">
        <f t="shared" si="23"/>
        <v>0</v>
      </c>
      <c r="AF138" s="78">
        <f t="shared" si="23"/>
        <v>0</v>
      </c>
      <c r="AG138" s="78">
        <f t="shared" si="23"/>
        <v>0</v>
      </c>
      <c r="AH138" s="78">
        <f t="shared" si="23"/>
        <v>0</v>
      </c>
      <c r="AI138" s="78">
        <f t="shared" si="23"/>
        <v>0</v>
      </c>
      <c r="AJ138" s="177"/>
      <c r="AK138" s="78">
        <f>IF(AK141=0,0,AK135/AK141)</f>
        <v>0</v>
      </c>
      <c r="AL138" s="78">
        <f>IF(AL141=0,0,AL135/AL141)</f>
        <v>0</v>
      </c>
      <c r="AM138" s="177"/>
      <c r="AN138" s="78">
        <f>IF(AN141=0,0,AN135/AN141)</f>
        <v>0</v>
      </c>
      <c r="AP138" s="673"/>
      <c r="AR138" s="673"/>
    </row>
    <row r="139" spans="1:44" ht="14.25" customHeight="1" outlineLevel="1">
      <c r="C139" s="675">
        <f t="shared" si="18"/>
        <v>0</v>
      </c>
      <c r="G139" s="678"/>
      <c r="H139" s="678"/>
      <c r="I139" s="678"/>
      <c r="J139" s="678"/>
      <c r="K139" s="483"/>
      <c r="L139" s="1140"/>
      <c r="M139" s="1140"/>
      <c r="N139" s="680"/>
      <c r="O139" s="684" t="str">
        <f>O138&amp;".I"</f>
        <v>1.2.1.1.I</v>
      </c>
      <c r="P139" s="65" t="s">
        <v>1979</v>
      </c>
      <c r="Q139" s="483"/>
      <c r="R139" s="355" t="s">
        <v>1978</v>
      </c>
      <c r="S139" s="75"/>
      <c r="T139" s="177"/>
      <c r="U139" s="75"/>
      <c r="V139" s="78">
        <f>IF(V142=0,0,V136/V142)</f>
        <v>0</v>
      </c>
      <c r="W139" s="75"/>
      <c r="X139" s="75"/>
      <c r="Y139" s="75"/>
      <c r="Z139" s="75"/>
      <c r="AA139" s="75"/>
      <c r="AB139" s="75"/>
      <c r="AC139" s="681"/>
      <c r="AD139" s="681"/>
      <c r="AE139" s="681"/>
      <c r="AF139" s="681"/>
      <c r="AG139" s="681"/>
      <c r="AH139" s="681"/>
      <c r="AI139" s="75"/>
      <c r="AJ139" s="177"/>
      <c r="AK139" s="75"/>
      <c r="AL139" s="78">
        <f>IF(AL142=0,0,AL136/AL142)</f>
        <v>0</v>
      </c>
      <c r="AM139" s="177"/>
      <c r="AN139" s="75"/>
      <c r="AP139" s="673"/>
      <c r="AR139" s="673"/>
    </row>
    <row r="140" spans="1:44" ht="14.25" customHeight="1" outlineLevel="1">
      <c r="C140" s="675">
        <f t="shared" si="18"/>
        <v>0</v>
      </c>
      <c r="G140" s="678"/>
      <c r="H140" s="678"/>
      <c r="I140" s="678"/>
      <c r="J140" s="678"/>
      <c r="K140" s="483"/>
      <c r="L140" s="1140"/>
      <c r="M140" s="1140"/>
      <c r="N140" s="680"/>
      <c r="O140" s="684" t="str">
        <f>O138&amp;".II"</f>
        <v>1.2.1.1.II</v>
      </c>
      <c r="P140" s="65" t="s">
        <v>1980</v>
      </c>
      <c r="Q140" s="483"/>
      <c r="R140" s="355" t="s">
        <v>1978</v>
      </c>
      <c r="S140" s="75"/>
      <c r="T140" s="177"/>
      <c r="U140" s="75"/>
      <c r="V140" s="78">
        <f>IF(V143=0,0,V137/V143)</f>
        <v>0</v>
      </c>
      <c r="W140" s="681"/>
      <c r="X140" s="681"/>
      <c r="Y140" s="681"/>
      <c r="Z140" s="681"/>
      <c r="AA140" s="681"/>
      <c r="AB140" s="681"/>
      <c r="AC140" s="75"/>
      <c r="AD140" s="75"/>
      <c r="AE140" s="75"/>
      <c r="AF140" s="75"/>
      <c r="AG140" s="75"/>
      <c r="AH140" s="75"/>
      <c r="AI140" s="75"/>
      <c r="AJ140" s="177"/>
      <c r="AK140" s="75"/>
      <c r="AL140" s="78">
        <f>IF(AL143=0,0,AL137/AL143)</f>
        <v>0</v>
      </c>
      <c r="AM140" s="177"/>
      <c r="AN140" s="75"/>
      <c r="AP140" s="673"/>
      <c r="AR140" s="673"/>
    </row>
    <row r="141" spans="1:44" ht="14.25" customHeight="1" outlineLevel="1">
      <c r="C141" s="675">
        <f t="shared" si="18"/>
        <v>0</v>
      </c>
      <c r="D141" s="676" t="str">
        <f>C141&amp;" - "&amp;"II - "&amp;P134&amp;" - "&amp;R141&amp;" - э"</f>
        <v>0 - II -  - тыс. кВтч - э</v>
      </c>
      <c r="F141" s="677" t="str">
        <f>"II - "&amp;P134&amp;" - "&amp;R141</f>
        <v>II -  - тыс. кВтч</v>
      </c>
      <c r="G141" s="678"/>
      <c r="H141" s="678"/>
      <c r="I141" s="678"/>
      <c r="J141" s="678"/>
      <c r="K141" s="483"/>
      <c r="L141" s="1140"/>
      <c r="M141" s="1140"/>
      <c r="N141" s="680"/>
      <c r="O141" s="686" t="str">
        <f>O135&amp;".2"</f>
        <v>1.2.1.2</v>
      </c>
      <c r="P141" s="65" t="s">
        <v>1982</v>
      </c>
      <c r="Q141" s="483"/>
      <c r="R141" s="355" t="s">
        <v>1983</v>
      </c>
      <c r="S141" s="78">
        <f>S142+S143</f>
        <v>0</v>
      </c>
      <c r="T141" s="177"/>
      <c r="U141" s="78">
        <f t="shared" ref="U141:AI141" si="24">U142+U143</f>
        <v>0</v>
      </c>
      <c r="V141" s="78">
        <f t="shared" si="24"/>
        <v>0</v>
      </c>
      <c r="W141" s="78">
        <f t="shared" si="24"/>
        <v>0</v>
      </c>
      <c r="X141" s="78">
        <f t="shared" si="24"/>
        <v>0</v>
      </c>
      <c r="Y141" s="78">
        <f t="shared" si="24"/>
        <v>0</v>
      </c>
      <c r="Z141" s="78">
        <f t="shared" si="24"/>
        <v>0</v>
      </c>
      <c r="AA141" s="78">
        <f t="shared" si="24"/>
        <v>0</v>
      </c>
      <c r="AB141" s="78">
        <f t="shared" si="24"/>
        <v>0</v>
      </c>
      <c r="AC141" s="78">
        <f t="shared" si="24"/>
        <v>0</v>
      </c>
      <c r="AD141" s="78">
        <f t="shared" si="24"/>
        <v>0</v>
      </c>
      <c r="AE141" s="78">
        <f t="shared" si="24"/>
        <v>0</v>
      </c>
      <c r="AF141" s="78">
        <f t="shared" si="24"/>
        <v>0</v>
      </c>
      <c r="AG141" s="78">
        <f t="shared" si="24"/>
        <v>0</v>
      </c>
      <c r="AH141" s="78">
        <f t="shared" si="24"/>
        <v>0</v>
      </c>
      <c r="AI141" s="78">
        <f t="shared" si="24"/>
        <v>0</v>
      </c>
      <c r="AJ141" s="177"/>
      <c r="AK141" s="78">
        <f>AK142+AK143</f>
        <v>0</v>
      </c>
      <c r="AL141" s="78">
        <f>SUM(AL142:AL143)</f>
        <v>0</v>
      </c>
      <c r="AM141" s="177"/>
      <c r="AN141" s="78">
        <f>AN142+AN143</f>
        <v>0</v>
      </c>
      <c r="AP141" s="673"/>
      <c r="AR141" s="673"/>
    </row>
    <row r="142" spans="1:44" ht="14.25" customHeight="1" outlineLevel="1">
      <c r="C142" s="675">
        <f t="shared" si="18"/>
        <v>0</v>
      </c>
      <c r="D142" s="676" t="str">
        <f>C142&amp;" - "&amp;"II - "&amp;P134&amp;" - "&amp;R142&amp;" - э - 1"</f>
        <v>0 - II -  - тыс. кВтч - э - 1</v>
      </c>
      <c r="F142" s="677" t="str">
        <f>"II - "&amp;P134&amp;" - "&amp;R142&amp;" - 1"</f>
        <v>II -  - тыс. кВтч - 1</v>
      </c>
      <c r="G142" s="678"/>
      <c r="H142" s="678"/>
      <c r="I142" s="678"/>
      <c r="J142" s="678"/>
      <c r="K142" s="483"/>
      <c r="L142" s="1140"/>
      <c r="M142" s="1140"/>
      <c r="N142" s="680"/>
      <c r="O142" s="684" t="str">
        <f>O141&amp;".I"</f>
        <v>1.2.1.2.I</v>
      </c>
      <c r="P142" s="65" t="s">
        <v>1984</v>
      </c>
      <c r="Q142" s="483"/>
      <c r="R142" s="355" t="s">
        <v>1983</v>
      </c>
      <c r="S142" s="75"/>
      <c r="T142" s="177"/>
      <c r="U142" s="75"/>
      <c r="V142" s="78">
        <f>SUM(W142:AH142)</f>
        <v>0</v>
      </c>
      <c r="W142" s="75"/>
      <c r="X142" s="75"/>
      <c r="Y142" s="75"/>
      <c r="Z142" s="75"/>
      <c r="AA142" s="75"/>
      <c r="AB142" s="75"/>
      <c r="AC142" s="681"/>
      <c r="AD142" s="681"/>
      <c r="AE142" s="681"/>
      <c r="AF142" s="681"/>
      <c r="AG142" s="681"/>
      <c r="AH142" s="681"/>
      <c r="AI142" s="75"/>
      <c r="AJ142" s="177"/>
      <c r="AK142" s="75"/>
      <c r="AL142" s="75"/>
      <c r="AM142" s="177"/>
      <c r="AN142" s="75"/>
      <c r="AP142" s="673"/>
      <c r="AR142" s="673"/>
    </row>
    <row r="143" spans="1:44" ht="14.25" customHeight="1" outlineLevel="1">
      <c r="C143" s="675">
        <f t="shared" si="18"/>
        <v>0</v>
      </c>
      <c r="D143" s="676" t="str">
        <f>C143&amp;" - "&amp;"II - "&amp;P134&amp;" - "&amp;R143&amp;" - э - 2"</f>
        <v>0 - II -  - тыс. кВтч - э - 2</v>
      </c>
      <c r="F143" s="677" t="str">
        <f>"II - "&amp;P134&amp;" - "&amp;R142&amp;" - 2"</f>
        <v>II -  - тыс. кВтч - 2</v>
      </c>
      <c r="G143" s="678"/>
      <c r="H143" s="678"/>
      <c r="I143" s="678"/>
      <c r="J143" s="678"/>
      <c r="K143" s="483"/>
      <c r="L143" s="1140"/>
      <c r="M143" s="1140"/>
      <c r="N143" s="680"/>
      <c r="O143" s="684" t="str">
        <f>O141&amp;".II"</f>
        <v>1.2.1.2.II</v>
      </c>
      <c r="P143" s="65" t="s">
        <v>1985</v>
      </c>
      <c r="Q143" s="483"/>
      <c r="R143" s="355" t="s">
        <v>1983</v>
      </c>
      <c r="S143" s="75"/>
      <c r="T143" s="177"/>
      <c r="U143" s="75"/>
      <c r="V143" s="78">
        <f>SUM(W143:AH143)</f>
        <v>0</v>
      </c>
      <c r="W143" s="681"/>
      <c r="X143" s="681"/>
      <c r="Y143" s="681"/>
      <c r="Z143" s="681"/>
      <c r="AA143" s="681"/>
      <c r="AB143" s="681"/>
      <c r="AC143" s="75"/>
      <c r="AD143" s="75"/>
      <c r="AE143" s="75"/>
      <c r="AF143" s="75"/>
      <c r="AG143" s="75"/>
      <c r="AH143" s="75"/>
      <c r="AI143" s="75"/>
      <c r="AJ143" s="177"/>
      <c r="AK143" s="75"/>
      <c r="AL143" s="75"/>
      <c r="AM143" s="177"/>
      <c r="AN143" s="75"/>
      <c r="AP143" s="673"/>
      <c r="AR143" s="673"/>
    </row>
    <row r="144" spans="1:44" ht="14.25" customHeight="1" outlineLevel="1">
      <c r="C144" s="675">
        <f t="shared" si="18"/>
        <v>0</v>
      </c>
      <c r="D144" s="683" t="str">
        <f>C144&amp;" - "&amp;"II - "&amp;P134&amp;" - "&amp;R144&amp;" - м"</f>
        <v>0 - II -  - тыс.руб. - м</v>
      </c>
      <c r="F144" s="677" t="str">
        <f>"II - "&amp;P134&amp;" - "&amp;R144&amp;" - м"</f>
        <v>II -  - тыс.руб. - м</v>
      </c>
      <c r="G144" s="678"/>
      <c r="H144" s="678"/>
      <c r="I144" s="678"/>
      <c r="J144" s="678"/>
      <c r="K144" s="483"/>
      <c r="L144" s="1140"/>
      <c r="M144" s="1140"/>
      <c r="N144" s="680"/>
      <c r="O144" s="686" t="str">
        <f>O134&amp;".2"</f>
        <v>1.2.2</v>
      </c>
      <c r="P144" s="685" t="s">
        <v>922</v>
      </c>
      <c r="Q144" s="483"/>
      <c r="R144" s="51" t="s">
        <v>619</v>
      </c>
      <c r="S144" s="78">
        <f>S145+S146</f>
        <v>0</v>
      </c>
      <c r="T144" s="177"/>
      <c r="U144" s="78">
        <f t="shared" ref="U144:AI144" si="25">U145+U146</f>
        <v>0</v>
      </c>
      <c r="V144" s="78">
        <f t="shared" si="25"/>
        <v>0</v>
      </c>
      <c r="W144" s="78">
        <f t="shared" si="25"/>
        <v>0</v>
      </c>
      <c r="X144" s="78">
        <f t="shared" si="25"/>
        <v>0</v>
      </c>
      <c r="Y144" s="78">
        <f t="shared" si="25"/>
        <v>0</v>
      </c>
      <c r="Z144" s="78">
        <f t="shared" si="25"/>
        <v>0</v>
      </c>
      <c r="AA144" s="78">
        <f t="shared" si="25"/>
        <v>0</v>
      </c>
      <c r="AB144" s="78">
        <f t="shared" si="25"/>
        <v>0</v>
      </c>
      <c r="AC144" s="78">
        <f t="shared" si="25"/>
        <v>0</v>
      </c>
      <c r="AD144" s="78">
        <f t="shared" si="25"/>
        <v>0</v>
      </c>
      <c r="AE144" s="78">
        <f t="shared" si="25"/>
        <v>0</v>
      </c>
      <c r="AF144" s="78">
        <f t="shared" si="25"/>
        <v>0</v>
      </c>
      <c r="AG144" s="78">
        <f t="shared" si="25"/>
        <v>0</v>
      </c>
      <c r="AH144" s="78">
        <f t="shared" si="25"/>
        <v>0</v>
      </c>
      <c r="AI144" s="78">
        <f t="shared" si="25"/>
        <v>0</v>
      </c>
      <c r="AJ144" s="177"/>
      <c r="AK144" s="78">
        <f>AK145+AK146</f>
        <v>0</v>
      </c>
      <c r="AL144" s="78">
        <f>AL145+AL146</f>
        <v>0</v>
      </c>
      <c r="AM144" s="177"/>
      <c r="AN144" s="78">
        <f>AN145+AN146</f>
        <v>0</v>
      </c>
      <c r="AP144" s="673"/>
      <c r="AR144" s="673"/>
    </row>
    <row r="145" spans="1:44" ht="14.25" customHeight="1" outlineLevel="1">
      <c r="C145" s="675">
        <f t="shared" si="18"/>
        <v>0</v>
      </c>
      <c r="D145" s="683" t="str">
        <f>C145&amp;" - "&amp;"II - "&amp;P134&amp;" - "&amp;R145&amp;" - м - 1"</f>
        <v>0 - II -  - тыс.руб. - м - 1</v>
      </c>
      <c r="F145" s="677" t="str">
        <f>"II - "&amp;P134&amp;" - "&amp;R145&amp;" - м - 1"</f>
        <v>II -  - тыс.руб. - м - 1</v>
      </c>
      <c r="G145" s="678"/>
      <c r="H145" s="678"/>
      <c r="I145" s="678"/>
      <c r="J145" s="678"/>
      <c r="K145" s="483"/>
      <c r="L145" s="1140"/>
      <c r="M145" s="1140"/>
      <c r="N145" s="680"/>
      <c r="O145" s="684" t="str">
        <f>O144&amp;".I"</f>
        <v>1.2.2.I</v>
      </c>
      <c r="P145" s="65" t="s">
        <v>1975</v>
      </c>
      <c r="Q145" s="483"/>
      <c r="R145" s="51" t="s">
        <v>619</v>
      </c>
      <c r="S145" s="78">
        <f>S148*S151*6/1000</f>
        <v>0</v>
      </c>
      <c r="T145" s="177"/>
      <c r="U145" s="78">
        <f>U148*U151*6/1000</f>
        <v>0</v>
      </c>
      <c r="V145" s="78">
        <f>SUM(W145:AH145)</f>
        <v>0</v>
      </c>
      <c r="W145" s="78">
        <f t="shared" ref="W145:AB145" si="26">W148*W151/1000</f>
        <v>0</v>
      </c>
      <c r="X145" s="78">
        <f t="shared" si="26"/>
        <v>0</v>
      </c>
      <c r="Y145" s="78">
        <f t="shared" si="26"/>
        <v>0</v>
      </c>
      <c r="Z145" s="78">
        <f t="shared" si="26"/>
        <v>0</v>
      </c>
      <c r="AA145" s="78">
        <f t="shared" si="26"/>
        <v>0</v>
      </c>
      <c r="AB145" s="78">
        <f t="shared" si="26"/>
        <v>0</v>
      </c>
      <c r="AC145" s="681"/>
      <c r="AD145" s="681"/>
      <c r="AE145" s="681"/>
      <c r="AF145" s="681"/>
      <c r="AG145" s="681"/>
      <c r="AH145" s="681"/>
      <c r="AI145" s="78">
        <f>AI148*AI151</f>
        <v>0</v>
      </c>
      <c r="AJ145" s="177"/>
      <c r="AK145" s="78">
        <f>AK148*AK151</f>
        <v>0</v>
      </c>
      <c r="AL145" s="75"/>
      <c r="AM145" s="177"/>
      <c r="AN145" s="75"/>
      <c r="AP145" s="673"/>
      <c r="AR145" s="673"/>
    </row>
    <row r="146" spans="1:44" ht="14.25" customHeight="1" outlineLevel="1">
      <c r="C146" s="675">
        <f t="shared" si="18"/>
        <v>0</v>
      </c>
      <c r="D146" s="683" t="str">
        <f>C146&amp;" - "&amp;"II - "&amp;P134&amp;" - "&amp;R146&amp;" - м - 2"</f>
        <v>0 - II -  - тыс.руб. - м - 2</v>
      </c>
      <c r="F146" s="677" t="str">
        <f>"II - "&amp;P134&amp;" - "&amp;R146&amp;" - м - 2"</f>
        <v>II -  - тыс.руб. - м - 2</v>
      </c>
      <c r="G146" s="678"/>
      <c r="H146" s="678"/>
      <c r="I146" s="678"/>
      <c r="J146" s="678"/>
      <c r="K146" s="483"/>
      <c r="L146" s="1140"/>
      <c r="M146" s="1140"/>
      <c r="N146" s="680"/>
      <c r="O146" s="684" t="str">
        <f>O144&amp;".II"</f>
        <v>1.2.2.II</v>
      </c>
      <c r="P146" s="65" t="s">
        <v>1976</v>
      </c>
      <c r="Q146" s="483"/>
      <c r="R146" s="51" t="s">
        <v>619</v>
      </c>
      <c r="S146" s="78">
        <f>S149*S152*6/1000</f>
        <v>0</v>
      </c>
      <c r="T146" s="177"/>
      <c r="U146" s="78">
        <f>U149*U152*6/1000</f>
        <v>0</v>
      </c>
      <c r="V146" s="78">
        <f>SUM(W146:AH146)</f>
        <v>0</v>
      </c>
      <c r="W146" s="681"/>
      <c r="X146" s="681"/>
      <c r="Y146" s="681"/>
      <c r="Z146" s="681"/>
      <c r="AA146" s="681"/>
      <c r="AB146" s="681"/>
      <c r="AC146" s="78">
        <f t="shared" ref="AC146:AH146" si="27">AC149*AC152/1000</f>
        <v>0</v>
      </c>
      <c r="AD146" s="78">
        <f t="shared" si="27"/>
        <v>0</v>
      </c>
      <c r="AE146" s="78">
        <f t="shared" si="27"/>
        <v>0</v>
      </c>
      <c r="AF146" s="78">
        <f t="shared" si="27"/>
        <v>0</v>
      </c>
      <c r="AG146" s="78">
        <f t="shared" si="27"/>
        <v>0</v>
      </c>
      <c r="AH146" s="78">
        <f t="shared" si="27"/>
        <v>0</v>
      </c>
      <c r="AI146" s="78">
        <f>AI149*AI152</f>
        <v>0</v>
      </c>
      <c r="AJ146" s="177"/>
      <c r="AK146" s="78">
        <f>AK149*AK152</f>
        <v>0</v>
      </c>
      <c r="AL146" s="75"/>
      <c r="AM146" s="177"/>
      <c r="AN146" s="75"/>
      <c r="AP146" s="673"/>
      <c r="AR146" s="673"/>
    </row>
    <row r="147" spans="1:44" ht="14.25" customHeight="1" outlineLevel="1">
      <c r="C147" s="675">
        <f t="shared" si="18"/>
        <v>0</v>
      </c>
      <c r="D147" s="676" t="str">
        <f>C147&amp;" - "&amp;"II - "&amp;P134&amp;" - "&amp;R147</f>
        <v>0 - II -  - руб./МВт в мес.</v>
      </c>
      <c r="F147" s="677" t="str">
        <f>"II - "&amp;P134&amp;" - "&amp;R147</f>
        <v>II -  - руб./МВт в мес.</v>
      </c>
      <c r="G147" s="678"/>
      <c r="H147" s="678"/>
      <c r="I147" s="678"/>
      <c r="J147" s="678"/>
      <c r="K147" s="483"/>
      <c r="L147" s="1140"/>
      <c r="M147" s="1140"/>
      <c r="N147" s="680"/>
      <c r="O147" s="686" t="str">
        <f>O144&amp;".1"</f>
        <v>1.2.2.1</v>
      </c>
      <c r="P147" s="65" t="s">
        <v>1987</v>
      </c>
      <c r="Q147" s="483"/>
      <c r="R147" s="355" t="s">
        <v>989</v>
      </c>
      <c r="S147" s="78">
        <v>0</v>
      </c>
      <c r="T147" s="177"/>
      <c r="U147" s="78">
        <v>0</v>
      </c>
      <c r="V147" s="78">
        <f>IF(V150=0,0,V144/V150)</f>
        <v>0</v>
      </c>
      <c r="W147" s="78">
        <f t="shared" ref="W147:AH147" si="28">IF(W150=0,0,W144/W150*1000)</f>
        <v>0</v>
      </c>
      <c r="X147" s="78">
        <f t="shared" si="28"/>
        <v>0</v>
      </c>
      <c r="Y147" s="78">
        <f t="shared" si="28"/>
        <v>0</v>
      </c>
      <c r="Z147" s="78">
        <f t="shared" si="28"/>
        <v>0</v>
      </c>
      <c r="AA147" s="78">
        <f t="shared" si="28"/>
        <v>0</v>
      </c>
      <c r="AB147" s="78">
        <f t="shared" si="28"/>
        <v>0</v>
      </c>
      <c r="AC147" s="78">
        <f t="shared" si="28"/>
        <v>0</v>
      </c>
      <c r="AD147" s="78">
        <f t="shared" si="28"/>
        <v>0</v>
      </c>
      <c r="AE147" s="78">
        <f t="shared" si="28"/>
        <v>0</v>
      </c>
      <c r="AF147" s="78">
        <f t="shared" si="28"/>
        <v>0</v>
      </c>
      <c r="AG147" s="78">
        <f t="shared" si="28"/>
        <v>0</v>
      </c>
      <c r="AH147" s="78">
        <f t="shared" si="28"/>
        <v>0</v>
      </c>
      <c r="AI147" s="78">
        <f>IF(AI150=0,0,AI144/AI150)</f>
        <v>0</v>
      </c>
      <c r="AJ147" s="177"/>
      <c r="AK147" s="78">
        <f>IF(AK150=0,0,AK144/AK150)</f>
        <v>0</v>
      </c>
      <c r="AL147" s="78">
        <f>IF(AL150=0,0,AL144/AL150)</f>
        <v>0</v>
      </c>
      <c r="AM147" s="177"/>
      <c r="AN147" s="78">
        <f>IF(AN150=0,0,AN144/AN150)</f>
        <v>0</v>
      </c>
      <c r="AP147" s="673"/>
      <c r="AR147" s="673"/>
    </row>
    <row r="148" spans="1:44" ht="14.25" customHeight="1" outlineLevel="1">
      <c r="C148" s="675">
        <f t="shared" si="18"/>
        <v>0</v>
      </c>
      <c r="G148" s="678"/>
      <c r="H148" s="678"/>
      <c r="I148" s="678"/>
      <c r="J148" s="678"/>
      <c r="K148" s="483"/>
      <c r="L148" s="1140"/>
      <c r="M148" s="1140"/>
      <c r="N148" s="680"/>
      <c r="O148" s="684" t="str">
        <f>O147&amp;".I"</f>
        <v>1.2.2.1.I</v>
      </c>
      <c r="P148" s="65" t="s">
        <v>1979</v>
      </c>
      <c r="Q148" s="483"/>
      <c r="R148" s="355" t="s">
        <v>989</v>
      </c>
      <c r="S148" s="75"/>
      <c r="T148" s="177"/>
      <c r="U148" s="75"/>
      <c r="V148" s="78">
        <f>IF(V151=0,0,V145/V151)</f>
        <v>0</v>
      </c>
      <c r="W148" s="75"/>
      <c r="X148" s="75"/>
      <c r="Y148" s="75"/>
      <c r="Z148" s="75"/>
      <c r="AA148" s="75"/>
      <c r="AB148" s="75"/>
      <c r="AC148" s="681"/>
      <c r="AD148" s="681"/>
      <c r="AE148" s="681"/>
      <c r="AF148" s="681"/>
      <c r="AG148" s="681"/>
      <c r="AH148" s="681"/>
      <c r="AI148" s="75"/>
      <c r="AJ148" s="177"/>
      <c r="AK148" s="75"/>
      <c r="AL148" s="75"/>
      <c r="AM148" s="177"/>
      <c r="AN148" s="75"/>
      <c r="AP148" s="673"/>
      <c r="AR148" s="673"/>
    </row>
    <row r="149" spans="1:44" ht="14.25" customHeight="1" outlineLevel="1">
      <c r="C149" s="675">
        <f t="shared" si="18"/>
        <v>0</v>
      </c>
      <c r="G149" s="678"/>
      <c r="H149" s="678"/>
      <c r="I149" s="678"/>
      <c r="J149" s="678"/>
      <c r="K149" s="483"/>
      <c r="L149" s="1140"/>
      <c r="M149" s="1140"/>
      <c r="N149" s="680"/>
      <c r="O149" s="684" t="str">
        <f>O147&amp;".II"</f>
        <v>1.2.2.1.II</v>
      </c>
      <c r="P149" s="65" t="s">
        <v>1980</v>
      </c>
      <c r="Q149" s="483"/>
      <c r="R149" s="355" t="s">
        <v>989</v>
      </c>
      <c r="S149" s="75"/>
      <c r="T149" s="177"/>
      <c r="U149" s="75"/>
      <c r="V149" s="78">
        <f>IF(V152=0,0,V146/V152)</f>
        <v>0</v>
      </c>
      <c r="W149" s="681"/>
      <c r="X149" s="681"/>
      <c r="Y149" s="681"/>
      <c r="Z149" s="681"/>
      <c r="AA149" s="681"/>
      <c r="AB149" s="681"/>
      <c r="AC149" s="75"/>
      <c r="AD149" s="75"/>
      <c r="AE149" s="75"/>
      <c r="AF149" s="75"/>
      <c r="AG149" s="75"/>
      <c r="AH149" s="75"/>
      <c r="AI149" s="75"/>
      <c r="AJ149" s="177"/>
      <c r="AK149" s="75"/>
      <c r="AL149" s="75"/>
      <c r="AM149" s="177"/>
      <c r="AN149" s="75"/>
      <c r="AP149" s="673"/>
      <c r="AR149" s="673"/>
    </row>
    <row r="150" spans="1:44" ht="14.25" customHeight="1" outlineLevel="1">
      <c r="C150" s="675">
        <f t="shared" si="18"/>
        <v>0</v>
      </c>
      <c r="D150" s="683" t="str">
        <f>C150&amp;" - "&amp;"II - "&amp;P134&amp;" - "&amp;R150&amp;" - м"</f>
        <v>0 - II -  - МВт в мес. - м</v>
      </c>
      <c r="F150" s="677" t="str">
        <f>"II - "&amp;P134&amp;" - "&amp;R150</f>
        <v>II -  - МВт в мес.</v>
      </c>
      <c r="G150" s="678"/>
      <c r="H150" s="678"/>
      <c r="I150" s="678"/>
      <c r="J150" s="678"/>
      <c r="K150" s="483"/>
      <c r="L150" s="1140"/>
      <c r="M150" s="1140"/>
      <c r="N150" s="680"/>
      <c r="O150" s="686" t="str">
        <f>O144&amp;".2"</f>
        <v>1.2.2.2</v>
      </c>
      <c r="P150" s="65" t="s">
        <v>1988</v>
      </c>
      <c r="Q150" s="483"/>
      <c r="R150" s="355" t="s">
        <v>1989</v>
      </c>
      <c r="S150" s="78">
        <v>0</v>
      </c>
      <c r="T150" s="177"/>
      <c r="U150" s="78">
        <v>0</v>
      </c>
      <c r="V150" s="78">
        <f>V151+V152</f>
        <v>0</v>
      </c>
      <c r="W150" s="78">
        <f t="shared" ref="W150:AB150" si="29">W151</f>
        <v>0</v>
      </c>
      <c r="X150" s="78">
        <f t="shared" si="29"/>
        <v>0</v>
      </c>
      <c r="Y150" s="78">
        <f t="shared" si="29"/>
        <v>0</v>
      </c>
      <c r="Z150" s="78">
        <f t="shared" si="29"/>
        <v>0</v>
      </c>
      <c r="AA150" s="78">
        <f t="shared" si="29"/>
        <v>0</v>
      </c>
      <c r="AB150" s="78">
        <f t="shared" si="29"/>
        <v>0</v>
      </c>
      <c r="AC150" s="78">
        <f t="shared" ref="AC150:AH150" si="30">AC152</f>
        <v>0</v>
      </c>
      <c r="AD150" s="78">
        <f t="shared" si="30"/>
        <v>0</v>
      </c>
      <c r="AE150" s="78">
        <f t="shared" si="30"/>
        <v>0</v>
      </c>
      <c r="AF150" s="78">
        <f t="shared" si="30"/>
        <v>0</v>
      </c>
      <c r="AG150" s="78">
        <f t="shared" si="30"/>
        <v>0</v>
      </c>
      <c r="AH150" s="78">
        <f t="shared" si="30"/>
        <v>0</v>
      </c>
      <c r="AI150" s="75"/>
      <c r="AJ150" s="177"/>
      <c r="AK150" s="75"/>
      <c r="AL150" s="75"/>
      <c r="AM150" s="177"/>
      <c r="AN150" s="78">
        <f>AN151+AN152</f>
        <v>0</v>
      </c>
      <c r="AP150" s="673"/>
      <c r="AR150" s="673"/>
    </row>
    <row r="151" spans="1:44" ht="14.25" customHeight="1" outlineLevel="1">
      <c r="C151" s="675">
        <f t="shared" si="18"/>
        <v>0</v>
      </c>
      <c r="D151" s="683" t="str">
        <f>C151&amp;" - "&amp;"II - "&amp;P134&amp;" - "&amp;R151&amp;" - м - 1"</f>
        <v>0 - II -  - МВт в мес. - м - 1</v>
      </c>
      <c r="F151" s="677" t="str">
        <f>"II - "&amp;P134&amp;" - "&amp;R151&amp;" - 1"</f>
        <v>II -  - МВт в мес. - 1</v>
      </c>
      <c r="G151" s="678"/>
      <c r="H151" s="678"/>
      <c r="I151" s="678"/>
      <c r="J151" s="678"/>
      <c r="K151" s="483"/>
      <c r="L151" s="1140"/>
      <c r="M151" s="1140"/>
      <c r="N151" s="680"/>
      <c r="O151" s="684" t="str">
        <f>O150&amp;".I"</f>
        <v>1.2.2.2.I</v>
      </c>
      <c r="P151" s="65" t="s">
        <v>1984</v>
      </c>
      <c r="Q151" s="483"/>
      <c r="R151" s="355" t="s">
        <v>1989</v>
      </c>
      <c r="S151" s="75"/>
      <c r="T151" s="177"/>
      <c r="U151" s="75"/>
      <c r="V151" s="78">
        <f>SUM(W151:AH151)</f>
        <v>0</v>
      </c>
      <c r="W151" s="75"/>
      <c r="X151" s="75"/>
      <c r="Y151" s="75"/>
      <c r="Z151" s="75"/>
      <c r="AA151" s="75"/>
      <c r="AB151" s="75"/>
      <c r="AC151" s="681"/>
      <c r="AD151" s="681"/>
      <c r="AE151" s="681"/>
      <c r="AF151" s="681"/>
      <c r="AG151" s="681"/>
      <c r="AH151" s="681"/>
      <c r="AI151" s="75"/>
      <c r="AJ151" s="177"/>
      <c r="AK151" s="75"/>
      <c r="AL151" s="75"/>
      <c r="AM151" s="177"/>
      <c r="AN151" s="75"/>
      <c r="AP151" s="673"/>
      <c r="AR151" s="673"/>
    </row>
    <row r="152" spans="1:44" ht="14.25" customHeight="1" outlineLevel="1">
      <c r="C152" s="675">
        <f t="shared" si="18"/>
        <v>0</v>
      </c>
      <c r="D152" s="683" t="str">
        <f>C152&amp;" - "&amp;"II - "&amp;P134&amp;" - "&amp;R152&amp;" - м - 2"</f>
        <v>0 - II -  - МВт в мес. - м - 2</v>
      </c>
      <c r="F152" s="677" t="str">
        <f>"II - "&amp;P134&amp;" - "&amp;R152&amp;" - 2"</f>
        <v>II -  - МВт в мес. - 2</v>
      </c>
      <c r="G152" s="678"/>
      <c r="H152" s="678"/>
      <c r="I152" s="678"/>
      <c r="J152" s="678"/>
      <c r="K152" s="483"/>
      <c r="L152" s="1141"/>
      <c r="M152" s="1141"/>
      <c r="N152" s="682"/>
      <c r="O152" s="684" t="str">
        <f>O150&amp;".II"</f>
        <v>1.2.2.2.II</v>
      </c>
      <c r="P152" s="65" t="s">
        <v>1985</v>
      </c>
      <c r="Q152" s="483"/>
      <c r="R152" s="355" t="s">
        <v>1989</v>
      </c>
      <c r="S152" s="75"/>
      <c r="T152" s="177"/>
      <c r="U152" s="75"/>
      <c r="V152" s="78">
        <f>SUM(W152:AH152)</f>
        <v>0</v>
      </c>
      <c r="W152" s="681"/>
      <c r="X152" s="681"/>
      <c r="Y152" s="681"/>
      <c r="Z152" s="681"/>
      <c r="AA152" s="681"/>
      <c r="AB152" s="681"/>
      <c r="AC152" s="75"/>
      <c r="AD152" s="75"/>
      <c r="AE152" s="75"/>
      <c r="AF152" s="75"/>
      <c r="AG152" s="75"/>
      <c r="AH152" s="75"/>
      <c r="AI152" s="75"/>
      <c r="AJ152" s="177"/>
      <c r="AK152" s="75"/>
      <c r="AL152" s="75"/>
      <c r="AM152" s="177"/>
      <c r="AN152" s="75"/>
      <c r="AP152" s="673"/>
      <c r="AR152" s="673"/>
    </row>
    <row r="157" spans="1:44" ht="11.25" customHeight="1">
      <c r="A157" s="669" t="s">
        <v>2162</v>
      </c>
      <c r="B157" s="669" t="s">
        <v>469</v>
      </c>
      <c r="C157" s="670" t="s">
        <v>2159</v>
      </c>
    </row>
    <row r="158" spans="1:44" ht="12.75" customHeight="1">
      <c r="E158" s="1188" t="s">
        <v>618</v>
      </c>
      <c r="F158" s="617" t="s">
        <v>517</v>
      </c>
      <c r="G158" s="66" t="str">
        <f>E158</f>
        <v>1.1</v>
      </c>
      <c r="H158" s="172"/>
      <c r="I158" s="171" t="s">
        <v>619</v>
      </c>
      <c r="J158" s="687">
        <f>J170+J161</f>
        <v>0</v>
      </c>
      <c r="K158" s="688"/>
      <c r="L158" s="455">
        <f t="shared" ref="L158:N160" si="31">L170+L161</f>
        <v>0</v>
      </c>
      <c r="M158" s="406">
        <f t="shared" si="31"/>
        <v>0</v>
      </c>
      <c r="N158" s="406">
        <f t="shared" si="31"/>
        <v>0</v>
      </c>
      <c r="O158" s="688"/>
      <c r="P158" s="406">
        <f t="shared" ref="P158:Q160" si="32">P170+P161</f>
        <v>0</v>
      </c>
      <c r="Q158" s="406">
        <f t="shared" si="32"/>
        <v>0</v>
      </c>
      <c r="R158" s="688"/>
      <c r="S158" s="406">
        <f t="shared" ref="S158:T160" si="33">S170+S161</f>
        <v>0</v>
      </c>
      <c r="T158" s="406">
        <f t="shared" si="33"/>
        <v>0</v>
      </c>
      <c r="U158" s="688"/>
      <c r="V158" s="406">
        <f t="shared" ref="V158:W160" si="34">V170+V161</f>
        <v>0</v>
      </c>
      <c r="W158" s="406">
        <f t="shared" si="34"/>
        <v>0</v>
      </c>
      <c r="X158" s="688"/>
      <c r="Y158" s="406">
        <f t="shared" ref="Y158:Z160" si="35">Y170+Y161</f>
        <v>0</v>
      </c>
      <c r="Z158" s="406">
        <f t="shared" si="35"/>
        <v>0</v>
      </c>
      <c r="AA158" s="688"/>
      <c r="AB158" s="406">
        <f>AB170+AB161</f>
        <v>0</v>
      </c>
      <c r="AC158" s="102"/>
      <c r="AD158" s="688"/>
      <c r="AE158" s="406">
        <f>AE170+AE161</f>
        <v>0</v>
      </c>
      <c r="AG158" s="673"/>
      <c r="AI158" s="673"/>
    </row>
    <row r="159" spans="1:44" ht="15.75" customHeight="1" outlineLevel="1">
      <c r="E159" s="781"/>
      <c r="F159" s="689" t="s">
        <v>2163</v>
      </c>
      <c r="G159" s="97" t="str">
        <f>G158&amp;".I"</f>
        <v>1.1.I</v>
      </c>
      <c r="H159" s="65" t="s">
        <v>1975</v>
      </c>
      <c r="I159" s="171" t="s">
        <v>619</v>
      </c>
      <c r="J159" s="687">
        <f>J171+J162</f>
        <v>0</v>
      </c>
      <c r="K159" s="688"/>
      <c r="L159" s="455">
        <f t="shared" si="31"/>
        <v>0</v>
      </c>
      <c r="M159" s="406">
        <f t="shared" si="31"/>
        <v>0</v>
      </c>
      <c r="N159" s="406">
        <f t="shared" si="31"/>
        <v>0</v>
      </c>
      <c r="O159" s="688"/>
      <c r="P159" s="406">
        <f t="shared" si="32"/>
        <v>0</v>
      </c>
      <c r="Q159" s="406">
        <f t="shared" si="32"/>
        <v>0</v>
      </c>
      <c r="R159" s="688"/>
      <c r="S159" s="406">
        <f t="shared" si="33"/>
        <v>0</v>
      </c>
      <c r="T159" s="406">
        <f t="shared" si="33"/>
        <v>0</v>
      </c>
      <c r="U159" s="688"/>
      <c r="V159" s="406">
        <f t="shared" si="34"/>
        <v>0</v>
      </c>
      <c r="W159" s="406">
        <f t="shared" si="34"/>
        <v>0</v>
      </c>
      <c r="X159" s="688"/>
      <c r="Y159" s="406">
        <f t="shared" si="35"/>
        <v>0</v>
      </c>
      <c r="Z159" s="406">
        <f t="shared" si="35"/>
        <v>0</v>
      </c>
      <c r="AA159" s="688"/>
      <c r="AB159" s="406">
        <f>AB171+AB162</f>
        <v>0</v>
      </c>
      <c r="AC159" s="102"/>
      <c r="AD159" s="688"/>
      <c r="AE159" s="406">
        <f>AE171+AE162</f>
        <v>0</v>
      </c>
      <c r="AG159" s="673"/>
      <c r="AI159" s="673"/>
    </row>
    <row r="160" spans="1:44" ht="15.75" customHeight="1" outlineLevel="1">
      <c r="E160" s="781"/>
      <c r="F160" s="689" t="s">
        <v>2164</v>
      </c>
      <c r="G160" s="97" t="str">
        <f>G158&amp;".II"</f>
        <v>1.1.II</v>
      </c>
      <c r="H160" s="65" t="s">
        <v>1976</v>
      </c>
      <c r="I160" s="171" t="s">
        <v>619</v>
      </c>
      <c r="J160" s="687">
        <f>J172+J163</f>
        <v>0</v>
      </c>
      <c r="K160" s="688"/>
      <c r="L160" s="455">
        <f t="shared" si="31"/>
        <v>0</v>
      </c>
      <c r="M160" s="406">
        <f t="shared" si="31"/>
        <v>0</v>
      </c>
      <c r="N160" s="406">
        <f t="shared" si="31"/>
        <v>0</v>
      </c>
      <c r="O160" s="688"/>
      <c r="P160" s="406">
        <f t="shared" si="32"/>
        <v>0</v>
      </c>
      <c r="Q160" s="406">
        <f t="shared" si="32"/>
        <v>0</v>
      </c>
      <c r="R160" s="688"/>
      <c r="S160" s="406">
        <f t="shared" si="33"/>
        <v>0</v>
      </c>
      <c r="T160" s="406">
        <f t="shared" si="33"/>
        <v>0</v>
      </c>
      <c r="U160" s="688"/>
      <c r="V160" s="406">
        <f t="shared" si="34"/>
        <v>0</v>
      </c>
      <c r="W160" s="406">
        <f t="shared" si="34"/>
        <v>0</v>
      </c>
      <c r="X160" s="688"/>
      <c r="Y160" s="406">
        <f t="shared" si="35"/>
        <v>0</v>
      </c>
      <c r="Z160" s="406">
        <f t="shared" si="35"/>
        <v>0</v>
      </c>
      <c r="AA160" s="688"/>
      <c r="AB160" s="406">
        <f>AB172+AB163</f>
        <v>0</v>
      </c>
      <c r="AC160" s="102"/>
      <c r="AD160" s="688"/>
      <c r="AE160" s="406">
        <f>AE172+AE163</f>
        <v>0</v>
      </c>
      <c r="AG160" s="673"/>
      <c r="AI160" s="673"/>
    </row>
    <row r="161" spans="4:35" ht="15.75" customHeight="1" outlineLevel="1">
      <c r="E161" s="781"/>
      <c r="G161" s="97" t="str">
        <f>G158&amp;".1"</f>
        <v>1.1.1</v>
      </c>
      <c r="H161" s="374" t="s">
        <v>1990</v>
      </c>
      <c r="I161" s="171" t="s">
        <v>619</v>
      </c>
      <c r="J161" s="687">
        <f>SUM(J162:J163)</f>
        <v>0</v>
      </c>
      <c r="K161" s="688"/>
      <c r="L161" s="455">
        <f>SUM(L162:L163)</f>
        <v>0</v>
      </c>
      <c r="M161" s="406">
        <f>SUM(M162:M163)</f>
        <v>0</v>
      </c>
      <c r="N161" s="406">
        <f>SUM(N162:N163)</f>
        <v>0</v>
      </c>
      <c r="O161" s="688"/>
      <c r="P161" s="406">
        <f>SUM(P162:P163)</f>
        <v>0</v>
      </c>
      <c r="Q161" s="406">
        <f>SUM(Q162:Q163)</f>
        <v>0</v>
      </c>
      <c r="R161" s="688"/>
      <c r="S161" s="406">
        <f>SUM(S162:S163)</f>
        <v>0</v>
      </c>
      <c r="T161" s="406">
        <f>SUM(T162:T163)</f>
        <v>0</v>
      </c>
      <c r="U161" s="688"/>
      <c r="V161" s="406">
        <f>SUM(V162:V163)</f>
        <v>0</v>
      </c>
      <c r="W161" s="406">
        <f>SUM(W162:W163)</f>
        <v>0</v>
      </c>
      <c r="X161" s="688"/>
      <c r="Y161" s="406">
        <f>SUM(Y162:Y163)</f>
        <v>0</v>
      </c>
      <c r="Z161" s="406">
        <f>SUM(Z162:Z163)</f>
        <v>0</v>
      </c>
      <c r="AA161" s="688"/>
      <c r="AB161" s="406">
        <f>SUM(AB162:AB163)</f>
        <v>0</v>
      </c>
      <c r="AC161" s="102"/>
      <c r="AD161" s="688"/>
      <c r="AE161" s="406">
        <f>SUM(AE162:AE163)</f>
        <v>0</v>
      </c>
      <c r="AG161" s="673"/>
      <c r="AI161" s="673"/>
    </row>
    <row r="162" spans="4:35" ht="15.75" customHeight="1" outlineLevel="1">
      <c r="D162" s="690" t="s">
        <v>1995</v>
      </c>
      <c r="E162" s="781"/>
      <c r="G162" s="97" t="str">
        <f>G161&amp;".I"</f>
        <v>1.1.1.I</v>
      </c>
      <c r="H162" s="65" t="s">
        <v>1975</v>
      </c>
      <c r="I162" s="171" t="s">
        <v>619</v>
      </c>
      <c r="J162" s="687">
        <f>J165*J168/1000</f>
        <v>0</v>
      </c>
      <c r="K162" s="688"/>
      <c r="L162" s="455">
        <f>L165*L168/1000</f>
        <v>0</v>
      </c>
      <c r="M162" s="102"/>
      <c r="N162" s="406">
        <f>N165*N168/1000</f>
        <v>0</v>
      </c>
      <c r="O162" s="688"/>
      <c r="P162" s="406">
        <f>P165*P168/1000</f>
        <v>0</v>
      </c>
      <c r="Q162" s="102"/>
      <c r="R162" s="688"/>
      <c r="S162" s="406">
        <f>S165*S168/1000</f>
        <v>0</v>
      </c>
      <c r="T162" s="406">
        <f>T165*T168/1000</f>
        <v>0</v>
      </c>
      <c r="U162" s="688"/>
      <c r="V162" s="406">
        <f>V165*V168/1000</f>
        <v>0</v>
      </c>
      <c r="W162" s="406">
        <f>W165*W168/1000</f>
        <v>0</v>
      </c>
      <c r="X162" s="688"/>
      <c r="Y162" s="406">
        <f>Y165*Y168/1000</f>
        <v>0</v>
      </c>
      <c r="Z162" s="406">
        <f>Z165*Z168/1000</f>
        <v>0</v>
      </c>
      <c r="AA162" s="688"/>
      <c r="AB162" s="406">
        <f>AB165*AB168/1000</f>
        <v>0</v>
      </c>
      <c r="AC162" s="102"/>
      <c r="AD162" s="688"/>
      <c r="AE162" s="406">
        <f>AE165*AE168/1000</f>
        <v>0</v>
      </c>
      <c r="AG162" s="673"/>
      <c r="AI162" s="673"/>
    </row>
    <row r="163" spans="4:35" ht="15.75" customHeight="1" outlineLevel="1">
      <c r="D163" s="690" t="s">
        <v>1995</v>
      </c>
      <c r="E163" s="781"/>
      <c r="G163" s="97" t="str">
        <f>G161&amp;".II"</f>
        <v>1.1.1.II</v>
      </c>
      <c r="H163" s="65" t="s">
        <v>1976</v>
      </c>
      <c r="I163" s="171" t="s">
        <v>619</v>
      </c>
      <c r="J163" s="687">
        <f>J166*J169/1000</f>
        <v>0</v>
      </c>
      <c r="K163" s="688"/>
      <c r="L163" s="455">
        <f>L166*L169/1000</f>
        <v>0</v>
      </c>
      <c r="M163" s="102"/>
      <c r="N163" s="406">
        <f>N166*N169/1000</f>
        <v>0</v>
      </c>
      <c r="O163" s="688"/>
      <c r="P163" s="406">
        <f>P166*P169/1000</f>
        <v>0</v>
      </c>
      <c r="Q163" s="102"/>
      <c r="R163" s="688"/>
      <c r="S163" s="406">
        <f>S166*S169/1000</f>
        <v>0</v>
      </c>
      <c r="T163" s="406">
        <f>T166*T169/1000</f>
        <v>0</v>
      </c>
      <c r="U163" s="688"/>
      <c r="V163" s="406">
        <f>V166*V169/1000</f>
        <v>0</v>
      </c>
      <c r="W163" s="406">
        <f>W166*W169/1000</f>
        <v>0</v>
      </c>
      <c r="X163" s="688"/>
      <c r="Y163" s="406">
        <f>Y166*Y169/1000</f>
        <v>0</v>
      </c>
      <c r="Z163" s="406">
        <f>Z166*Z169/1000</f>
        <v>0</v>
      </c>
      <c r="AA163" s="688"/>
      <c r="AB163" s="406">
        <f>AB166*AB169/1000</f>
        <v>0</v>
      </c>
      <c r="AC163" s="102"/>
      <c r="AD163" s="688"/>
      <c r="AE163" s="406">
        <f>AE166*AE169/1000</f>
        <v>0</v>
      </c>
      <c r="AG163" s="673"/>
      <c r="AI163" s="673"/>
    </row>
    <row r="164" spans="4:35" ht="15.75" customHeight="1" outlineLevel="1">
      <c r="E164" s="781"/>
      <c r="G164" s="97" t="str">
        <f>G161&amp;".1"</f>
        <v>1.1.1.1</v>
      </c>
      <c r="H164" s="374" t="s">
        <v>1997</v>
      </c>
      <c r="I164" s="171" t="s">
        <v>1998</v>
      </c>
      <c r="J164" s="687">
        <f>IF(J167=0,0,J161/J167)*1000</f>
        <v>0</v>
      </c>
      <c r="K164" s="688"/>
      <c r="L164" s="455">
        <f>IF(L167=0,0,L161/L167)*1000</f>
        <v>0</v>
      </c>
      <c r="M164" s="406">
        <f>IF(M167=0,0,M161/M167)*1000</f>
        <v>0</v>
      </c>
      <c r="N164" s="406">
        <f>IF(N167=0,0,N161/N167)*1000</f>
        <v>0</v>
      </c>
      <c r="O164" s="688"/>
      <c r="P164" s="406">
        <f>IF(P167=0,0,P161/P167)*1000</f>
        <v>0</v>
      </c>
      <c r="Q164" s="406">
        <f>IF(Q167=0,0,Q161/Q167)*1000</f>
        <v>0</v>
      </c>
      <c r="R164" s="688"/>
      <c r="S164" s="406">
        <f>IF(S167=0,0,S161/S167)*1000</f>
        <v>0</v>
      </c>
      <c r="T164" s="406">
        <f>IF(T167=0,0,T161/T167)*1000</f>
        <v>0</v>
      </c>
      <c r="U164" s="688"/>
      <c r="V164" s="406">
        <f>IF(V167=0,0,V161/V167)*1000</f>
        <v>0</v>
      </c>
      <c r="W164" s="406">
        <f>IF(W167=0,0,W161/W167)*1000</f>
        <v>0</v>
      </c>
      <c r="X164" s="688"/>
      <c r="Y164" s="406">
        <f>IF(Y167=0,0,Y161/Y167)*1000</f>
        <v>0</v>
      </c>
      <c r="Z164" s="406">
        <f>IF(Z167=0,0,Z161/Z167)*1000</f>
        <v>0</v>
      </c>
      <c r="AA164" s="688"/>
      <c r="AB164" s="406">
        <f>IF(AB167=0,0,AB161/AB167)*1000</f>
        <v>0</v>
      </c>
      <c r="AC164" s="102"/>
      <c r="AD164" s="688"/>
      <c r="AE164" s="406">
        <f>IF(AE167=0,0,AE161/AE167)*1000</f>
        <v>0</v>
      </c>
      <c r="AG164" s="673"/>
      <c r="AI164" s="673"/>
    </row>
    <row r="165" spans="4:35" ht="15.75" customHeight="1" outlineLevel="1">
      <c r="E165" s="781"/>
      <c r="G165" s="97" t="str">
        <f>G164&amp;".I"</f>
        <v>1.1.1.1.I</v>
      </c>
      <c r="H165" s="65" t="s">
        <v>1999</v>
      </c>
      <c r="I165" s="171" t="s">
        <v>1998</v>
      </c>
      <c r="J165" s="691"/>
      <c r="K165" s="688"/>
      <c r="L165" s="692"/>
      <c r="M165" s="406">
        <f>IF(M168=0,0,M162/M168)*1000</f>
        <v>0</v>
      </c>
      <c r="N165" s="102"/>
      <c r="O165" s="688"/>
      <c r="P165" s="102"/>
      <c r="Q165" s="406">
        <f>IF(Q168=0,0,Q162/Q168)*1000</f>
        <v>0</v>
      </c>
      <c r="R165" s="688"/>
      <c r="S165" s="102"/>
      <c r="T165" s="102"/>
      <c r="U165" s="688"/>
      <c r="V165" s="102">
        <f>N166</f>
        <v>0</v>
      </c>
      <c r="W165" s="102">
        <f>V166</f>
        <v>0</v>
      </c>
      <c r="X165" s="688"/>
      <c r="Y165" s="102">
        <f>W166</f>
        <v>0</v>
      </c>
      <c r="Z165" s="102">
        <f>Y166</f>
        <v>0</v>
      </c>
      <c r="AA165" s="688"/>
      <c r="AB165" s="102">
        <f>Z166</f>
        <v>0</v>
      </c>
      <c r="AC165" s="102"/>
      <c r="AD165" s="688"/>
      <c r="AE165" s="102"/>
      <c r="AG165" s="673"/>
      <c r="AI165" s="673"/>
    </row>
    <row r="166" spans="4:35" ht="15.75" customHeight="1" outlineLevel="1">
      <c r="E166" s="781"/>
      <c r="G166" s="97" t="str">
        <f>G164&amp;".II"</f>
        <v>1.1.1.1.II</v>
      </c>
      <c r="H166" s="65" t="s">
        <v>2000</v>
      </c>
      <c r="I166" s="171" t="s">
        <v>1998</v>
      </c>
      <c r="J166" s="691"/>
      <c r="K166" s="688"/>
      <c r="L166" s="692"/>
      <c r="M166" s="406">
        <f>IF(M169=0,0,M163/M169)*1000</f>
        <v>0</v>
      </c>
      <c r="N166" s="102"/>
      <c r="O166" s="688"/>
      <c r="P166" s="102"/>
      <c r="Q166" s="406">
        <f>IF(Q169=0,0,Q163/Q169)*1000</f>
        <v>0</v>
      </c>
      <c r="R166" s="688"/>
      <c r="S166" s="102"/>
      <c r="T166" s="102"/>
      <c r="U166" s="688"/>
      <c r="V166" s="102"/>
      <c r="W166" s="102"/>
      <c r="X166" s="688"/>
      <c r="Y166" s="102"/>
      <c r="Z166" s="102"/>
      <c r="AA166" s="688"/>
      <c r="AB166" s="102"/>
      <c r="AC166" s="102"/>
      <c r="AD166" s="688"/>
      <c r="AE166" s="102"/>
      <c r="AG166" s="673"/>
      <c r="AI166" s="673"/>
    </row>
    <row r="167" spans="4:35" ht="15.75" customHeight="1" outlineLevel="1">
      <c r="E167" s="781"/>
      <c r="G167" s="97" t="str">
        <f>G161&amp;".2"</f>
        <v>1.1.1.2</v>
      </c>
      <c r="H167" s="374" t="s">
        <v>2008</v>
      </c>
      <c r="I167" s="171" t="s">
        <v>2001</v>
      </c>
      <c r="J167" s="687">
        <f>SUM(J168:J169)</f>
        <v>0</v>
      </c>
      <c r="K167" s="688"/>
      <c r="L167" s="455">
        <f>SUM(L168:L169)</f>
        <v>0</v>
      </c>
      <c r="M167" s="406">
        <f>SUM(M168:M169)</f>
        <v>0</v>
      </c>
      <c r="N167" s="406">
        <f>SUM(N168:N169)</f>
        <v>0</v>
      </c>
      <c r="O167" s="688"/>
      <c r="P167" s="406">
        <f>SUM(P168:P169)</f>
        <v>0</v>
      </c>
      <c r="Q167" s="406">
        <f>SUM(Q168:Q169)</f>
        <v>0</v>
      </c>
      <c r="R167" s="688"/>
      <c r="S167" s="406">
        <f>SUM(S168:S169)</f>
        <v>0</v>
      </c>
      <c r="T167" s="406">
        <f>SUM(T168:T169)</f>
        <v>0</v>
      </c>
      <c r="U167" s="688"/>
      <c r="V167" s="406">
        <f>SUM(V168:V169)</f>
        <v>0</v>
      </c>
      <c r="W167" s="406">
        <f>SUM(W168:W169)</f>
        <v>0</v>
      </c>
      <c r="X167" s="688"/>
      <c r="Y167" s="406">
        <f>SUM(Y168:Y169)</f>
        <v>0</v>
      </c>
      <c r="Z167" s="406">
        <f>SUM(Z168:Z169)</f>
        <v>0</v>
      </c>
      <c r="AA167" s="688"/>
      <c r="AB167" s="406">
        <f>SUM(AB168:AB169)</f>
        <v>0</v>
      </c>
      <c r="AC167" s="102"/>
      <c r="AD167" s="688"/>
      <c r="AE167" s="406">
        <f>SUM(AE168:AE169)</f>
        <v>0</v>
      </c>
      <c r="AG167" s="673"/>
      <c r="AI167" s="673"/>
    </row>
    <row r="168" spans="4:35" ht="15.75" customHeight="1" outlineLevel="1">
      <c r="E168" s="781"/>
      <c r="G168" s="97" t="str">
        <f>G167&amp;".I"</f>
        <v>1.1.1.2.I</v>
      </c>
      <c r="H168" s="65" t="s">
        <v>1984</v>
      </c>
      <c r="I168" s="171" t="s">
        <v>2001</v>
      </c>
      <c r="J168" s="691"/>
      <c r="K168" s="688"/>
      <c r="L168" s="692"/>
      <c r="M168" s="102"/>
      <c r="N168" s="102"/>
      <c r="O168" s="688"/>
      <c r="P168" s="102"/>
      <c r="Q168" s="102"/>
      <c r="R168" s="688"/>
      <c r="S168" s="102"/>
      <c r="T168" s="102"/>
      <c r="U168" s="688"/>
      <c r="V168" s="102"/>
      <c r="W168" s="102"/>
      <c r="X168" s="688"/>
      <c r="Y168" s="102"/>
      <c r="Z168" s="102"/>
      <c r="AA168" s="688"/>
      <c r="AB168" s="102"/>
      <c r="AC168" s="102"/>
      <c r="AD168" s="688"/>
      <c r="AE168" s="102"/>
      <c r="AG168" s="673"/>
      <c r="AI168" s="673"/>
    </row>
    <row r="169" spans="4:35" ht="15.75" customHeight="1" outlineLevel="1">
      <c r="E169" s="781"/>
      <c r="G169" s="97" t="str">
        <f>G167&amp;".II"</f>
        <v>1.1.1.2.II</v>
      </c>
      <c r="H169" s="65" t="s">
        <v>1985</v>
      </c>
      <c r="I169" s="171" t="s">
        <v>2001</v>
      </c>
      <c r="J169" s="691"/>
      <c r="K169" s="688"/>
      <c r="L169" s="692"/>
      <c r="M169" s="102"/>
      <c r="N169" s="102"/>
      <c r="O169" s="688"/>
      <c r="P169" s="102"/>
      <c r="Q169" s="102"/>
      <c r="R169" s="688"/>
      <c r="S169" s="102"/>
      <c r="T169" s="102"/>
      <c r="U169" s="688"/>
      <c r="V169" s="102"/>
      <c r="W169" s="102"/>
      <c r="X169" s="688"/>
      <c r="Y169" s="102"/>
      <c r="Z169" s="102"/>
      <c r="AA169" s="688"/>
      <c r="AB169" s="102"/>
      <c r="AC169" s="102"/>
      <c r="AD169" s="688"/>
      <c r="AE169" s="102"/>
      <c r="AG169" s="673"/>
      <c r="AI169" s="673"/>
    </row>
    <row r="170" spans="4:35" ht="15.75" customHeight="1" outlineLevel="1">
      <c r="E170" s="781"/>
      <c r="G170" s="97" t="str">
        <f>G158&amp;".2"</f>
        <v>1.1.2</v>
      </c>
      <c r="H170" s="374" t="s">
        <v>1991</v>
      </c>
      <c r="I170" s="171" t="s">
        <v>619</v>
      </c>
      <c r="J170" s="687">
        <f>SUM(J171:J172)</f>
        <v>0</v>
      </c>
      <c r="K170" s="688"/>
      <c r="L170" s="455">
        <f>SUM(L171:L172)</f>
        <v>0</v>
      </c>
      <c r="M170" s="406">
        <f>SUM(M171:M172)</f>
        <v>0</v>
      </c>
      <c r="N170" s="406">
        <f>SUM(N171:N172)</f>
        <v>0</v>
      </c>
      <c r="O170" s="688"/>
      <c r="P170" s="406">
        <f>SUM(P171:P172)</f>
        <v>0</v>
      </c>
      <c r="Q170" s="406">
        <f>SUM(Q171:Q172)</f>
        <v>0</v>
      </c>
      <c r="R170" s="688"/>
      <c r="S170" s="406">
        <f>SUM(S171:S172)</f>
        <v>0</v>
      </c>
      <c r="T170" s="406">
        <f>SUM(T171:T172)</f>
        <v>0</v>
      </c>
      <c r="U170" s="688"/>
      <c r="V170" s="406">
        <f>SUM(V171:V172)</f>
        <v>0</v>
      </c>
      <c r="W170" s="406">
        <f>SUM(W171:W172)</f>
        <v>0</v>
      </c>
      <c r="X170" s="688"/>
      <c r="Y170" s="406">
        <f>SUM(Y171:Y172)</f>
        <v>0</v>
      </c>
      <c r="Z170" s="406">
        <f>SUM(Z171:Z172)</f>
        <v>0</v>
      </c>
      <c r="AA170" s="688"/>
      <c r="AB170" s="406">
        <f>SUM(AB171:AB172)</f>
        <v>0</v>
      </c>
      <c r="AC170" s="102"/>
      <c r="AD170" s="688"/>
      <c r="AE170" s="406">
        <f>SUM(AE171:AE172)</f>
        <v>0</v>
      </c>
      <c r="AG170" s="673"/>
      <c r="AI170" s="673"/>
    </row>
    <row r="171" spans="4:35" ht="15.75" customHeight="1" outlineLevel="1">
      <c r="D171" s="690" t="s">
        <v>2002</v>
      </c>
      <c r="E171" s="781"/>
      <c r="G171" s="97" t="str">
        <f>G170&amp;".I"</f>
        <v>1.1.2.I</v>
      </c>
      <c r="H171" s="65" t="s">
        <v>1975</v>
      </c>
      <c r="I171" s="171" t="s">
        <v>619</v>
      </c>
      <c r="J171" s="687">
        <v>0</v>
      </c>
      <c r="K171" s="688"/>
      <c r="L171" s="455">
        <v>0</v>
      </c>
      <c r="M171" s="102"/>
      <c r="N171" s="406">
        <v>0</v>
      </c>
      <c r="O171" s="688"/>
      <c r="P171" s="406">
        <v>0</v>
      </c>
      <c r="Q171" s="102"/>
      <c r="R171" s="688"/>
      <c r="S171" s="102"/>
      <c r="T171" s="102"/>
      <c r="U171" s="688"/>
      <c r="V171" s="102"/>
      <c r="W171" s="102"/>
      <c r="X171" s="688"/>
      <c r="Y171" s="102"/>
      <c r="Z171" s="102"/>
      <c r="AA171" s="688"/>
      <c r="AB171" s="102"/>
      <c r="AC171" s="102"/>
      <c r="AD171" s="688"/>
      <c r="AE171" s="102"/>
      <c r="AG171" s="673"/>
      <c r="AI171" s="673"/>
    </row>
    <row r="172" spans="4:35" ht="15.75" customHeight="1" outlineLevel="1">
      <c r="D172" s="690" t="s">
        <v>2002</v>
      </c>
      <c r="E172" s="781"/>
      <c r="G172" s="97" t="str">
        <f>G170&amp;".II"</f>
        <v>1.1.2.II</v>
      </c>
      <c r="H172" s="65" t="s">
        <v>1976</v>
      </c>
      <c r="I172" s="171" t="s">
        <v>619</v>
      </c>
      <c r="J172" s="687">
        <v>0</v>
      </c>
      <c r="K172" s="688"/>
      <c r="L172" s="455">
        <v>0</v>
      </c>
      <c r="M172" s="102"/>
      <c r="N172" s="406">
        <v>0</v>
      </c>
      <c r="O172" s="688"/>
      <c r="P172" s="406">
        <v>0</v>
      </c>
      <c r="Q172" s="102"/>
      <c r="R172" s="688"/>
      <c r="S172" s="102"/>
      <c r="T172" s="102"/>
      <c r="U172" s="688"/>
      <c r="V172" s="102"/>
      <c r="W172" s="102"/>
      <c r="X172" s="688"/>
      <c r="Y172" s="102"/>
      <c r="Z172" s="102"/>
      <c r="AA172" s="688"/>
      <c r="AB172" s="102"/>
      <c r="AC172" s="102"/>
      <c r="AD172" s="688"/>
      <c r="AE172" s="102"/>
      <c r="AG172" s="673"/>
      <c r="AI172" s="673"/>
    </row>
    <row r="173" spans="4:35" ht="15.75" customHeight="1" outlineLevel="1">
      <c r="E173" s="781"/>
      <c r="G173" s="97" t="str">
        <f>G170&amp;".1"</f>
        <v>1.1.2.1</v>
      </c>
      <c r="H173" s="374" t="s">
        <v>2003</v>
      </c>
      <c r="I173" s="171" t="s">
        <v>2004</v>
      </c>
      <c r="J173" s="687">
        <v>0</v>
      </c>
      <c r="K173" s="688"/>
      <c r="L173" s="455">
        <v>0</v>
      </c>
      <c r="M173" s="406">
        <v>0</v>
      </c>
      <c r="N173" s="406">
        <v>0</v>
      </c>
      <c r="O173" s="688"/>
      <c r="P173" s="406">
        <v>0</v>
      </c>
      <c r="Q173" s="406">
        <v>0</v>
      </c>
      <c r="R173" s="688"/>
      <c r="S173" s="406">
        <v>0</v>
      </c>
      <c r="T173" s="406">
        <v>0</v>
      </c>
      <c r="U173" s="688"/>
      <c r="V173" s="406">
        <v>0</v>
      </c>
      <c r="W173" s="406">
        <v>0</v>
      </c>
      <c r="X173" s="688"/>
      <c r="Y173" s="406">
        <v>0</v>
      </c>
      <c r="Z173" s="406">
        <v>0</v>
      </c>
      <c r="AA173" s="688"/>
      <c r="AB173" s="406">
        <v>0</v>
      </c>
      <c r="AC173" s="102"/>
      <c r="AD173" s="688"/>
      <c r="AE173" s="406">
        <v>0</v>
      </c>
      <c r="AG173" s="673"/>
      <c r="AI173" s="673"/>
    </row>
    <row r="174" spans="4:35" ht="15.75" customHeight="1" outlineLevel="1">
      <c r="E174" s="781"/>
      <c r="G174" s="97" t="str">
        <f>G173&amp;".I"</f>
        <v>1.1.2.1.I</v>
      </c>
      <c r="H174" s="65" t="s">
        <v>1999</v>
      </c>
      <c r="I174" s="171" t="s">
        <v>2004</v>
      </c>
      <c r="J174" s="691"/>
      <c r="K174" s="688"/>
      <c r="L174" s="692"/>
      <c r="M174" s="406">
        <v>0</v>
      </c>
      <c r="N174" s="102"/>
      <c r="O174" s="688"/>
      <c r="P174" s="102"/>
      <c r="Q174" s="406">
        <v>0</v>
      </c>
      <c r="R174" s="688"/>
      <c r="S174" s="102"/>
      <c r="T174" s="102"/>
      <c r="U174" s="688"/>
      <c r="V174" s="102">
        <f>Q175</f>
        <v>0</v>
      </c>
      <c r="W174" s="102">
        <f>V175</f>
        <v>0</v>
      </c>
      <c r="X174" s="688"/>
      <c r="Y174" s="102">
        <f>W175</f>
        <v>0</v>
      </c>
      <c r="Z174" s="102">
        <f>Y175</f>
        <v>0</v>
      </c>
      <c r="AA174" s="688"/>
      <c r="AB174" s="102">
        <f>Z175</f>
        <v>0</v>
      </c>
      <c r="AC174" s="102"/>
      <c r="AD174" s="688"/>
      <c r="AE174" s="102"/>
      <c r="AG174" s="673"/>
      <c r="AI174" s="673"/>
    </row>
    <row r="175" spans="4:35" ht="15.75" customHeight="1" outlineLevel="1">
      <c r="E175" s="781"/>
      <c r="G175" s="97" t="str">
        <f>G173&amp;".II"</f>
        <v>1.1.2.1.II</v>
      </c>
      <c r="H175" s="65" t="s">
        <v>2000</v>
      </c>
      <c r="I175" s="171" t="s">
        <v>2004</v>
      </c>
      <c r="J175" s="691"/>
      <c r="K175" s="688"/>
      <c r="L175" s="692"/>
      <c r="M175" s="406">
        <v>0</v>
      </c>
      <c r="N175" s="102"/>
      <c r="O175" s="688"/>
      <c r="P175" s="102"/>
      <c r="Q175" s="406">
        <v>0</v>
      </c>
      <c r="R175" s="688"/>
      <c r="S175" s="102"/>
      <c r="T175" s="102"/>
      <c r="U175" s="688"/>
      <c r="V175" s="102"/>
      <c r="W175" s="102"/>
      <c r="X175" s="688"/>
      <c r="Y175" s="102"/>
      <c r="Z175" s="102"/>
      <c r="AA175" s="688"/>
      <c r="AB175" s="102"/>
      <c r="AC175" s="102"/>
      <c r="AD175" s="688"/>
      <c r="AE175" s="102"/>
      <c r="AG175" s="673"/>
      <c r="AI175" s="673"/>
    </row>
    <row r="176" spans="4:35" ht="15.75" customHeight="1" outlineLevel="1">
      <c r="E176" s="781"/>
      <c r="G176" s="97" t="str">
        <f>G170&amp;".2"</f>
        <v>1.1.2.2</v>
      </c>
      <c r="H176" s="374" t="s">
        <v>922</v>
      </c>
      <c r="I176" s="171" t="s">
        <v>2005</v>
      </c>
      <c r="J176" s="687">
        <v>0</v>
      </c>
      <c r="K176" s="688"/>
      <c r="L176" s="455">
        <v>0</v>
      </c>
      <c r="M176" s="406">
        <v>0</v>
      </c>
      <c r="N176" s="406">
        <v>0</v>
      </c>
      <c r="O176" s="688"/>
      <c r="P176" s="406">
        <v>0</v>
      </c>
      <c r="Q176" s="406">
        <v>0</v>
      </c>
      <c r="R176" s="688"/>
      <c r="S176" s="406">
        <v>0</v>
      </c>
      <c r="T176" s="406">
        <v>0</v>
      </c>
      <c r="U176" s="688"/>
      <c r="V176" s="406">
        <v>0</v>
      </c>
      <c r="W176" s="406">
        <v>0</v>
      </c>
      <c r="X176" s="688"/>
      <c r="Y176" s="406">
        <v>0</v>
      </c>
      <c r="Z176" s="406">
        <v>0</v>
      </c>
      <c r="AA176" s="688"/>
      <c r="AB176" s="406">
        <v>0</v>
      </c>
      <c r="AC176" s="102"/>
      <c r="AD176" s="688"/>
      <c r="AE176" s="406">
        <v>0</v>
      </c>
      <c r="AG176" s="673"/>
      <c r="AI176" s="673"/>
    </row>
    <row r="177" spans="1:50" ht="15.75" customHeight="1" outlineLevel="1">
      <c r="E177" s="781"/>
      <c r="G177" s="97" t="str">
        <f>G176&amp;".I"</f>
        <v>1.1.2.2.I</v>
      </c>
      <c r="H177" s="65" t="s">
        <v>2006</v>
      </c>
      <c r="I177" s="171" t="s">
        <v>2005</v>
      </c>
      <c r="J177" s="691"/>
      <c r="K177" s="688"/>
      <c r="L177" s="692"/>
      <c r="M177" s="102"/>
      <c r="N177" s="102"/>
      <c r="O177" s="688"/>
      <c r="P177" s="102"/>
      <c r="Q177" s="102"/>
      <c r="R177" s="688"/>
      <c r="S177" s="102"/>
      <c r="T177" s="102"/>
      <c r="U177" s="688"/>
      <c r="V177" s="102"/>
      <c r="W177" s="102"/>
      <c r="X177" s="688"/>
      <c r="Y177" s="102"/>
      <c r="Z177" s="102"/>
      <c r="AA177" s="688"/>
      <c r="AB177" s="102"/>
      <c r="AC177" s="102"/>
      <c r="AD177" s="688"/>
      <c r="AE177" s="102"/>
      <c r="AG177" s="673"/>
      <c r="AI177" s="673"/>
    </row>
    <row r="178" spans="1:50" ht="15.75" customHeight="1" outlineLevel="1">
      <c r="E178" s="781"/>
      <c r="G178" s="97" t="str">
        <f>G176&amp;".II"</f>
        <v>1.1.2.2.II</v>
      </c>
      <c r="H178" s="65" t="s">
        <v>2007</v>
      </c>
      <c r="I178" s="171" t="s">
        <v>2005</v>
      </c>
      <c r="J178" s="691"/>
      <c r="K178" s="688"/>
      <c r="L178" s="692"/>
      <c r="M178" s="102"/>
      <c r="N178" s="102"/>
      <c r="O178" s="688"/>
      <c r="P178" s="102"/>
      <c r="Q178" s="102"/>
      <c r="R178" s="688"/>
      <c r="S178" s="102"/>
      <c r="T178" s="102"/>
      <c r="U178" s="688"/>
      <c r="V178" s="102"/>
      <c r="W178" s="102"/>
      <c r="X178" s="688"/>
      <c r="Y178" s="102"/>
      <c r="Z178" s="102"/>
      <c r="AA178" s="688"/>
      <c r="AB178" s="102"/>
      <c r="AC178" s="102"/>
      <c r="AD178" s="688"/>
      <c r="AE178" s="102"/>
      <c r="AG178" s="673"/>
      <c r="AI178" s="673"/>
    </row>
    <row r="187" spans="1:50" ht="11.25" customHeight="1">
      <c r="A187" s="669" t="s">
        <v>2165</v>
      </c>
      <c r="B187" s="669" t="s">
        <v>481</v>
      </c>
      <c r="C187" s="670" t="s">
        <v>2159</v>
      </c>
    </row>
    <row r="188" spans="1:50" ht="18.75" customHeight="1">
      <c r="K188" s="617" t="s">
        <v>517</v>
      </c>
      <c r="L188" s="693"/>
      <c r="M188" s="437"/>
      <c r="N188" s="89"/>
      <c r="O188" s="89"/>
      <c r="P188" s="225">
        <f>N188*O188/1000</f>
        <v>0</v>
      </c>
      <c r="Q188" s="225"/>
      <c r="R188" s="694"/>
      <c r="S188" s="435"/>
      <c r="T188" s="695"/>
      <c r="U188" s="89"/>
      <c r="V188" s="225"/>
      <c r="W188" s="225">
        <f>N188*O188/1000</f>
        <v>0</v>
      </c>
      <c r="X188" s="435"/>
      <c r="Y188" s="225"/>
      <c r="Z188" s="225"/>
      <c r="AA188" s="225"/>
      <c r="AB188" s="89"/>
      <c r="AC188" s="435"/>
      <c r="AD188" s="225"/>
      <c r="AE188" s="89"/>
      <c r="AF188" s="225"/>
      <c r="AG188" s="225">
        <f>N188*O188/1000</f>
        <v>0</v>
      </c>
      <c r="AH188" s="435"/>
      <c r="AI188" s="225"/>
      <c r="AJ188" s="225"/>
      <c r="AK188" s="225"/>
      <c r="AL188" s="89"/>
      <c r="AM188" s="225"/>
      <c r="AN188" s="89"/>
      <c r="AO188" s="74"/>
      <c r="AP188" s="225"/>
      <c r="AQ188" s="226">
        <f>AO188*AN188</f>
        <v>0</v>
      </c>
      <c r="AR188" s="435"/>
      <c r="AS188" s="225"/>
      <c r="AT188" s="89"/>
      <c r="AV188" s="696"/>
      <c r="AX188" s="696"/>
    </row>
    <row r="194" spans="1:51" ht="11.25" customHeight="1">
      <c r="A194" s="669" t="s">
        <v>2166</v>
      </c>
      <c r="B194" s="669" t="s">
        <v>2167</v>
      </c>
      <c r="C194" s="670" t="s">
        <v>2159</v>
      </c>
    </row>
    <row r="196" spans="1:51" ht="12" customHeight="1">
      <c r="F196" s="1185" t="s">
        <v>517</v>
      </c>
      <c r="G196" s="1143"/>
      <c r="H196" s="1186"/>
      <c r="I196" s="849"/>
      <c r="J196" s="60" t="s">
        <v>2054</v>
      </c>
      <c r="K196" s="148" t="s">
        <v>959</v>
      </c>
      <c r="L196" s="75"/>
      <c r="M196" s="1192">
        <f>IF(AND(L197&gt;0,L197&lt;=500,L196&gt;0,L196&lt;=30),1,0)+IF(AND(L197&gt;0,L197&lt;=500,L196&gt;30,L196&lt;=40),2,0)+IF(AND(L197&gt;0,L197&lt;=500,L196&gt;40,L196&lt;=60),3,0)+IF(AND(L197&gt;0,L197&lt;=500,L196&gt;60,L196&lt;=80),4,0)+IF(AND(L197&gt;0,L197&lt;=500,L196&gt;80,L196&lt;=100),5,0)+IF(AND(L197&gt;0,L197&lt;=500,L196&gt;100,L196&lt;=120),6,0)+IF(AND(L197&gt;0,L197&lt;=500,L196&gt;120,L196&lt;=140),7,0)+IF(AND(L197&gt;0,L197&lt;=500,L196&gt;140),8,0)+IF(AND(L197&gt;500,L197&lt;=2500,L196&gt;0,L196&lt;=30),FORECAST(L196,{1;2},{0;30}),0)+IF(AND(L197&gt;500,L197&lt;=2500,L196&gt;30,L196&lt;=40),FORECAST(L196,{2;3},{30;40}),0)+IF(AND(L197&gt;500,L197&lt;=2500,L196&gt;40,L196&lt;=60),FORECAST(L196,{3;4},{40;60}),0)+IF(AND(L197&gt;500,L197&lt;=2500,L196&gt;60,L196&lt;=80),FORECAST(L196,{4;5},{60;80}),0)+IF(AND(L197&gt;500,L197&lt;=2500,L196&gt;80,L196&lt;=100),FORECAST(L196,{5;6},{80;100}),0)+IF(AND(L197&gt;500,L197&lt;=2500,L196&gt;100,L196&lt;=120),FORECAST(L196,{6;7},{100;120}),0)+IF(AND(L197&gt;500,L197&lt;=2500,L196&gt;120,L196&lt;=140),FORECAST(L196,{7;8},{120;140}),0)+IF(AND(L197&gt;500,L197&lt;=2500,L196&gt;140,L196&lt;=160),FORECAST(L196,{8;9},{140;160}),0)+IF(AND(L197&gt;500,L197&lt;=2500,L196&gt;160),9,0)+IF(AND(L197&gt;2500,L196&gt;0,L196&lt;=30),FORECAST(L196,{2;3},{0;30}),0)+IF(AND(L197&gt;2500,L196&gt;30,L196&lt;=40),FORECAST(L196,{3;4},{30;40}),0)+IF(AND(L197&gt;2500,L196&gt;40,L196&lt;=60),FORECAST(L196,{4;5},{40;60}),0)+IF(AND(L197&gt;2500,L196&gt;60,L196&lt;=80),FORECAST(L196,{5;6},{60;80}),0)+IF(AND(L197&gt;2500,L196&gt;80,L196&lt;=100),FORECAST(L196,{6;7},{80;100}),0)+IF(AND(L197&gt;2500,L196&gt;100,L196&lt;=120),FORECAST(L196,{7;8},{100;120}),0)+IF(AND(L197&gt;2500,L196&gt;120,L196&lt;=140),FORECAST(L196,{8;9},{120;140}),0)+IF(AND(L197&gt;2500,L196&gt;140,L196&lt;=160),FORECAST(L196,{9;10},{140;160}),0)+IF(AND(L197&gt;2500,L196&gt;160),10,0)</f>
        <v>0</v>
      </c>
      <c r="N196" s="177"/>
      <c r="O196" s="90"/>
      <c r="P196" s="1144">
        <f>IF(AND(O197&gt;0,O197&lt;=500,O196&gt;0,O196&lt;=30),1,0)+IF(AND(O197&gt;0,O197&lt;=500,O196&gt;30,O196&lt;=40),2,0)+IF(AND(O197&gt;0,O197&lt;=500,O196&gt;40,O196&lt;=60),3,0)+IF(AND(O197&gt;0,O197&lt;=500,O196&gt;60,O196&lt;=80),4,0)+IF(AND(O197&gt;0,O197&lt;=500,O196&gt;80,O196&lt;=100),5,0)+IF(AND(O197&gt;0,O197&lt;=500,O196&gt;100,O196&lt;=120),6,0)+IF(AND(O197&gt;0,O197&lt;=500,O196&gt;120,O196&lt;=140),7,0)+IF(AND(O197&gt;0,O197&lt;=500,O196&gt;140),8,0)+IF(AND(O197&gt;500,O197&lt;=2500,O196&gt;0,O196&lt;=30),FORECAST(O196,{1;2},{0;30}),0)+IF(AND(O197&gt;500,O197&lt;=2500,O196&gt;30,O196&lt;=40),FORECAST(O196,{2;3},{30;40}),0)+IF(AND(O197&gt;500,O197&lt;=2500,O196&gt;40,O196&lt;=60),FORECAST(O196,{3;4},{40;60}),0)+IF(AND(O197&gt;500,O197&lt;=2500,O196&gt;60,O196&lt;=80),FORECAST(O196,{4;5},{60;80}),0)+IF(AND(O197&gt;500,O197&lt;=2500,O196&gt;80,O196&lt;=100),FORECAST(O196,{5;6},{80;100}),0)+IF(AND(O197&gt;500,O197&lt;=2500,O196&gt;100,O196&lt;=120),FORECAST(O196,{6;7},{100;120}),0)+IF(AND(O197&gt;500,O197&lt;=2500,O196&gt;120,O196&lt;=140),FORECAST(O196,{7;8},{120;140}),0)+IF(AND(O197&gt;500,O197&lt;=2500,O196&gt;140,O196&lt;=160),FORECAST(O196,{8;9},{140;160}),0)+IF(AND(O197&gt;500,O197&lt;=2500,O196&gt;160),9,0)+IF(AND(O197&gt;2500,O196&gt;0,O196&lt;=30),FORECAST(O196,{2;3},{0;30}),0)+IF(AND(O197&gt;2500,O196&gt;30,O196&lt;=40),FORECAST(O196,{3;4},{30;40}),0)+IF(AND(O197&gt;2500,O196&gt;40,O196&lt;=60),FORECAST(O196,{4;5},{40;60}),0)+IF(AND(O197&gt;2500,O196&gt;60,O196&lt;=80),FORECAST(O196,{5;6},{60;80}),0)+IF(AND(O197&gt;2500,O196&gt;80,O196&lt;=100),FORECAST(O196,{6;7},{80;100}),0)+IF(AND(O197&gt;2500,O196&gt;100,O196&lt;=120),FORECAST(O196,{7;8},{100;120}),0)+IF(AND(O197&gt;2500,O196&gt;120,O196&lt;=140),FORECAST(O196,{8;9},{120;140}),0)+IF(AND(O197&gt;2500,O196&gt;140,O196&lt;=160),FORECAST(O196,{9;10},{140;160}),0)+IF(AND(O197&gt;2500,O196&gt;160),10,0)</f>
        <v>0</v>
      </c>
      <c r="R196" s="467"/>
      <c r="T196" s="467"/>
    </row>
    <row r="197" spans="1:51" ht="12" customHeight="1">
      <c r="F197" s="1185"/>
      <c r="G197" s="866"/>
      <c r="H197" s="1187"/>
      <c r="I197" s="849"/>
      <c r="J197" s="60" t="s">
        <v>2055</v>
      </c>
      <c r="K197" s="148" t="s">
        <v>696</v>
      </c>
      <c r="L197" s="75"/>
      <c r="M197" s="1193"/>
      <c r="N197" s="177"/>
      <c r="O197" s="90"/>
      <c r="P197" s="1145"/>
      <c r="R197" s="467"/>
      <c r="T197" s="467"/>
    </row>
    <row r="200" spans="1:51" ht="11.25" customHeight="1">
      <c r="A200" s="669" t="s">
        <v>2168</v>
      </c>
      <c r="B200" s="669" t="s">
        <v>2167</v>
      </c>
      <c r="C200" s="670" t="s">
        <v>2159</v>
      </c>
    </row>
    <row r="201" spans="1:51" ht="11.25" customHeight="1">
      <c r="F201" s="617" t="s">
        <v>517</v>
      </c>
      <c r="G201" s="83"/>
      <c r="H201" s="697"/>
      <c r="I201" s="698"/>
      <c r="J201" s="699"/>
      <c r="K201" s="699"/>
      <c r="L201" s="89"/>
      <c r="M201" s="89"/>
      <c r="N201" s="177"/>
      <c r="O201" s="89"/>
      <c r="P201" s="89"/>
      <c r="R201" s="467"/>
      <c r="T201" s="467"/>
    </row>
    <row r="202" spans="1:51" ht="12" customHeight="1">
      <c r="A202" s="700"/>
      <c r="B202" s="700"/>
      <c r="C202" s="701"/>
      <c r="V202" s="702"/>
      <c r="W202" s="702"/>
      <c r="X202" s="702"/>
      <c r="Y202" s="702"/>
      <c r="Z202" s="702"/>
      <c r="AA202" s="702"/>
      <c r="AI202" s="702"/>
      <c r="AJ202" s="702"/>
      <c r="AK202" s="702"/>
      <c r="AL202" s="702"/>
      <c r="AM202" s="702"/>
      <c r="AN202" s="702"/>
      <c r="AO202" s="702"/>
      <c r="AP202" s="702"/>
      <c r="AQ202" s="702"/>
      <c r="AR202" s="702"/>
      <c r="AS202" s="702"/>
      <c r="AT202" s="702"/>
      <c r="AU202" s="703"/>
      <c r="AV202" s="702"/>
      <c r="AW202" s="702"/>
      <c r="AX202" s="702"/>
      <c r="AY202" s="704"/>
    </row>
    <row r="203" spans="1:51" ht="11.25" customHeight="1">
      <c r="A203" s="669" t="s">
        <v>2169</v>
      </c>
      <c r="B203" s="669" t="s">
        <v>450</v>
      </c>
      <c r="C203" s="670" t="s">
        <v>2159</v>
      </c>
    </row>
    <row r="205" spans="1:51" ht="18.75" customHeight="1">
      <c r="F205" s="617" t="s">
        <v>517</v>
      </c>
      <c r="G205" s="355"/>
      <c r="H205" s="150"/>
      <c r="I205" s="149" t="s">
        <v>916</v>
      </c>
      <c r="J205" s="705"/>
      <c r="K205" s="705"/>
      <c r="L205" s="705"/>
      <c r="M205" s="705"/>
      <c r="N205" s="705"/>
      <c r="O205" s="705"/>
      <c r="P205" s="705"/>
      <c r="Q205" s="705"/>
      <c r="R205" s="705"/>
      <c r="S205" s="705"/>
      <c r="T205" s="705"/>
      <c r="U205" s="705"/>
      <c r="V205" s="705"/>
      <c r="W205" s="706">
        <f>SUM(K205:V205)</f>
        <v>0</v>
      </c>
      <c r="X205" s="705"/>
      <c r="Y205" s="705"/>
      <c r="Z205" s="705"/>
      <c r="AA205" s="705"/>
      <c r="AB205" s="705"/>
      <c r="AC205" s="705"/>
      <c r="AD205" s="705"/>
      <c r="AE205" s="705"/>
      <c r="AF205" s="705"/>
      <c r="AG205" s="705"/>
      <c r="AH205" s="705"/>
      <c r="AI205" s="705"/>
      <c r="AJ205" s="705"/>
      <c r="AK205" s="705"/>
      <c r="AL205" s="705"/>
      <c r="AM205" s="705"/>
      <c r="AN205" s="705"/>
      <c r="AO205" s="707"/>
      <c r="AP205" s="16"/>
    </row>
    <row r="207" spans="1:51" ht="11.25" customHeight="1">
      <c r="A207" s="669" t="s">
        <v>2170</v>
      </c>
      <c r="B207" s="669" t="s">
        <v>450</v>
      </c>
      <c r="C207" s="670" t="s">
        <v>2159</v>
      </c>
    </row>
    <row r="209" spans="1:42" ht="18.75" customHeight="1">
      <c r="F209" s="617" t="s">
        <v>517</v>
      </c>
      <c r="G209" s="355"/>
      <c r="H209" s="150"/>
      <c r="I209" s="149" t="s">
        <v>639</v>
      </c>
      <c r="J209" s="705"/>
      <c r="K209" s="705"/>
      <c r="L209" s="705"/>
      <c r="M209" s="705"/>
      <c r="N209" s="705"/>
      <c r="O209" s="705"/>
      <c r="P209" s="705"/>
      <c r="Q209" s="705"/>
      <c r="R209" s="705"/>
      <c r="S209" s="705"/>
      <c r="T209" s="705"/>
      <c r="U209" s="705"/>
      <c r="V209" s="705"/>
      <c r="W209" s="706">
        <f>IFERROR(AVERAGE(K209:V209),0)</f>
        <v>0</v>
      </c>
      <c r="X209" s="705"/>
      <c r="Y209" s="705"/>
      <c r="Z209" s="705"/>
      <c r="AA209" s="705"/>
      <c r="AB209" s="705"/>
      <c r="AC209" s="705"/>
      <c r="AD209" s="705"/>
      <c r="AE209" s="705"/>
      <c r="AF209" s="705"/>
      <c r="AG209" s="705"/>
      <c r="AH209" s="705"/>
      <c r="AI209" s="705"/>
      <c r="AJ209" s="705"/>
      <c r="AK209" s="705"/>
      <c r="AL209" s="705"/>
      <c r="AM209" s="705"/>
      <c r="AN209" s="705"/>
      <c r="AO209" s="707"/>
      <c r="AP209" s="16"/>
    </row>
    <row r="212" spans="1:42" ht="11.25" customHeight="1">
      <c r="A212" s="669" t="s">
        <v>2171</v>
      </c>
      <c r="B212" s="669" t="s">
        <v>464</v>
      </c>
      <c r="C212" s="670" t="s">
        <v>2159</v>
      </c>
    </row>
    <row r="213" spans="1:42" ht="21.75" customHeight="1">
      <c r="F213" s="617" t="s">
        <v>517</v>
      </c>
      <c r="G213" s="411">
        <f>E213</f>
        <v>0</v>
      </c>
      <c r="H213" s="414"/>
      <c r="I213" s="185"/>
      <c r="J213" s="185"/>
      <c r="K213" s="412"/>
      <c r="L213" s="413"/>
      <c r="M213" s="413"/>
      <c r="N213" s="415"/>
      <c r="O213" s="708"/>
      <c r="P213" s="653"/>
      <c r="Q213" s="189"/>
      <c r="R213" s="182"/>
      <c r="S213" s="653"/>
      <c r="T213" s="182"/>
      <c r="U213" s="182"/>
      <c r="V213" s="182"/>
      <c r="W213" s="182"/>
      <c r="X213" s="653"/>
      <c r="Y213" s="182"/>
      <c r="Z213" s="182"/>
      <c r="AA213" s="653"/>
      <c r="AB213" s="182"/>
      <c r="AD213" s="185"/>
      <c r="AF213" s="185"/>
    </row>
    <row r="216" spans="1:42" ht="11.25" customHeight="1">
      <c r="A216" s="669" t="s">
        <v>2172</v>
      </c>
      <c r="B216" s="669" t="s">
        <v>464</v>
      </c>
      <c r="C216" s="670" t="s">
        <v>2159</v>
      </c>
    </row>
    <row r="218" spans="1:42" ht="18" customHeight="1">
      <c r="E218" s="781"/>
      <c r="F218" s="617" t="s">
        <v>517</v>
      </c>
      <c r="G218" s="411">
        <f>E218</f>
        <v>0</v>
      </c>
      <c r="H218" s="414"/>
      <c r="I218" s="416"/>
      <c r="J218" s="416"/>
      <c r="K218" s="426"/>
      <c r="L218" s="426"/>
      <c r="M218" s="426"/>
      <c r="N218" s="408"/>
      <c r="O218" s="183">
        <f>SUM(O219:O220,O222)</f>
        <v>0</v>
      </c>
      <c r="P218" s="653"/>
      <c r="Q218" s="183">
        <f>SUM(Q219:Q220,Q222)</f>
        <v>0</v>
      </c>
      <c r="R218" s="183">
        <f>SUM(R219:R220,R222)</f>
        <v>0</v>
      </c>
      <c r="S218" s="653"/>
      <c r="T218" s="183">
        <f>SUM(T219:T220,T222)</f>
        <v>0</v>
      </c>
      <c r="U218" s="183">
        <f>SUM(U219:U220,U222)</f>
        <v>0</v>
      </c>
      <c r="V218" s="183">
        <f>SUM(V219:V220,V222)</f>
        <v>0</v>
      </c>
      <c r="W218" s="183">
        <f>SUM(W219:W220,W222)</f>
        <v>0</v>
      </c>
      <c r="X218" s="653"/>
      <c r="Y218" s="183">
        <f>SUM(Y219:Y220,Y222)</f>
        <v>0</v>
      </c>
      <c r="Z218" s="183">
        <f>SUM(Z219:Z220,Z222)</f>
        <v>0</v>
      </c>
      <c r="AA218" s="653"/>
      <c r="AB218" s="183">
        <f>SUM(AB219:AB220,AB222)</f>
        <v>0</v>
      </c>
      <c r="AC218" s="353">
        <v>1</v>
      </c>
      <c r="AD218" s="185"/>
      <c r="AF218" s="185"/>
    </row>
    <row r="219" spans="1:42" ht="18" customHeight="1">
      <c r="E219" s="781"/>
      <c r="G219" s="411" t="str">
        <f>G218&amp;".1"</f>
        <v>0.1</v>
      </c>
      <c r="H219" s="419" t="s">
        <v>1958</v>
      </c>
      <c r="I219" s="420"/>
      <c r="J219" s="418"/>
      <c r="K219" s="418"/>
      <c r="L219" s="418"/>
      <c r="M219" s="418"/>
      <c r="N219" s="421"/>
      <c r="O219" s="189"/>
      <c r="P219" s="653"/>
      <c r="Q219" s="189"/>
      <c r="R219" s="182"/>
      <c r="S219" s="653"/>
      <c r="T219" s="182"/>
      <c r="U219" s="182"/>
      <c r="V219" s="182"/>
      <c r="W219" s="182"/>
      <c r="X219" s="653"/>
      <c r="Y219" s="182"/>
      <c r="Z219" s="182"/>
      <c r="AA219" s="653"/>
      <c r="AB219" s="182"/>
      <c r="AD219" s="185"/>
      <c r="AF219" s="185"/>
    </row>
    <row r="220" spans="1:42" ht="18" customHeight="1">
      <c r="E220" s="781"/>
      <c r="G220" s="411" t="str">
        <f>G218&amp;".2"</f>
        <v>0.2</v>
      </c>
      <c r="H220" s="419" t="s">
        <v>1959</v>
      </c>
      <c r="I220" s="422"/>
      <c r="J220" s="417"/>
      <c r="K220" s="417"/>
      <c r="L220" s="417"/>
      <c r="M220" s="417"/>
      <c r="N220" s="423"/>
      <c r="O220" s="189"/>
      <c r="P220" s="653"/>
      <c r="Q220" s="189"/>
      <c r="R220" s="182"/>
      <c r="S220" s="653"/>
      <c r="T220" s="182"/>
      <c r="U220" s="182"/>
      <c r="V220" s="182"/>
      <c r="W220" s="182"/>
      <c r="X220" s="653"/>
      <c r="Y220" s="182"/>
      <c r="Z220" s="182"/>
      <c r="AA220" s="653"/>
      <c r="AB220" s="182"/>
      <c r="AD220" s="185"/>
      <c r="AF220" s="185"/>
    </row>
    <row r="221" spans="1:42" ht="18" customHeight="1">
      <c r="E221" s="781"/>
      <c r="G221" s="411" t="str">
        <f>G218&amp;".3"</f>
        <v>0.3</v>
      </c>
      <c r="H221" s="419" t="s">
        <v>1960</v>
      </c>
      <c r="I221" s="422"/>
      <c r="J221" s="417"/>
      <c r="K221" s="417"/>
      <c r="L221" s="417"/>
      <c r="M221" s="417"/>
      <c r="N221" s="423"/>
      <c r="O221" s="189"/>
      <c r="P221" s="653"/>
      <c r="Q221" s="189"/>
      <c r="R221" s="182"/>
      <c r="S221" s="653"/>
      <c r="T221" s="182"/>
      <c r="U221" s="182"/>
      <c r="V221" s="182"/>
      <c r="W221" s="182"/>
      <c r="X221" s="653"/>
      <c r="Y221" s="182"/>
      <c r="Z221" s="182"/>
      <c r="AA221" s="653"/>
      <c r="AB221" s="182"/>
      <c r="AD221" s="185"/>
      <c r="AF221" s="185"/>
    </row>
    <row r="222" spans="1:42" ht="18" customHeight="1">
      <c r="E222" s="781"/>
      <c r="G222" s="411" t="str">
        <f>G218&amp;".4"</f>
        <v>0.4</v>
      </c>
      <c r="H222" s="419" t="s">
        <v>1961</v>
      </c>
      <c r="I222" s="424"/>
      <c r="J222" s="410"/>
      <c r="K222" s="410"/>
      <c r="L222" s="410"/>
      <c r="M222" s="410"/>
      <c r="N222" s="425"/>
      <c r="O222" s="189"/>
      <c r="P222" s="653"/>
      <c r="Q222" s="189"/>
      <c r="R222" s="182"/>
      <c r="S222" s="653"/>
      <c r="T222" s="182"/>
      <c r="U222" s="182"/>
      <c r="V222" s="182"/>
      <c r="W222" s="182"/>
      <c r="X222" s="653"/>
      <c r="Y222" s="182"/>
      <c r="Z222" s="182"/>
      <c r="AA222" s="653"/>
      <c r="AB222" s="182"/>
      <c r="AD222" s="185"/>
      <c r="AF222" s="185"/>
    </row>
    <row r="225" spans="1:68" ht="11.25" customHeight="1">
      <c r="A225" s="669" t="s">
        <v>2173</v>
      </c>
      <c r="B225" s="669" t="s">
        <v>467</v>
      </c>
      <c r="C225" s="670" t="s">
        <v>2159</v>
      </c>
    </row>
    <row r="226" spans="1:68" ht="21.75" customHeight="1">
      <c r="C226" s="709"/>
      <c r="D226" s="709"/>
      <c r="E226" s="709"/>
      <c r="F226" s="617" t="s">
        <v>517</v>
      </c>
      <c r="G226" s="710"/>
      <c r="H226" s="437"/>
      <c r="I226" s="438"/>
      <c r="J226" s="408"/>
      <c r="K226" s="711"/>
      <c r="L226" s="688"/>
      <c r="M226" s="712"/>
      <c r="N226" s="713"/>
      <c r="O226" s="688"/>
      <c r="P226" s="713"/>
      <c r="Q226" s="713"/>
      <c r="R226" s="713"/>
      <c r="S226" s="713"/>
      <c r="T226" s="688"/>
      <c r="U226" s="713"/>
      <c r="V226" s="713"/>
      <c r="W226" s="688"/>
      <c r="X226" s="713"/>
      <c r="Z226" s="185"/>
      <c r="AB226" s="185"/>
    </row>
    <row r="229" spans="1:68" ht="11.25" customHeight="1">
      <c r="A229" s="669" t="s">
        <v>2174</v>
      </c>
      <c r="B229" s="669" t="s">
        <v>463</v>
      </c>
      <c r="C229" s="670" t="s">
        <v>2159</v>
      </c>
    </row>
    <row r="230" spans="1:68" ht="23.25" customHeight="1">
      <c r="F230" s="617" t="s">
        <v>517</v>
      </c>
      <c r="G230" s="47"/>
      <c r="H230" s="172"/>
      <c r="I230" s="138"/>
      <c r="J230" s="138"/>
      <c r="K230" s="408"/>
      <c r="L230" s="167"/>
      <c r="M230" s="714"/>
      <c r="N230" s="167"/>
      <c r="O230" s="167"/>
      <c r="P230" s="714"/>
      <c r="Q230" s="167"/>
      <c r="R230" s="167"/>
      <c r="S230" s="714"/>
      <c r="T230" s="75"/>
      <c r="U230" s="75"/>
      <c r="V230" s="714"/>
      <c r="W230" s="167"/>
      <c r="X230" s="653"/>
      <c r="Y230" s="90"/>
      <c r="Z230" s="75"/>
      <c r="AA230" s="78">
        <f>Y230*Z230</f>
        <v>0</v>
      </c>
      <c r="AB230" s="653"/>
      <c r="AC230" s="75">
        <f>AA230</f>
        <v>0</v>
      </c>
      <c r="AE230" s="138"/>
      <c r="AG230" s="138"/>
    </row>
    <row r="232" spans="1:68" ht="12" customHeight="1">
      <c r="A232" s="648" t="s">
        <v>2175</v>
      </c>
      <c r="B232" s="648" t="s">
        <v>475</v>
      </c>
    </row>
    <row r="233" spans="1:68" ht="9.75" customHeight="1"/>
    <row r="234" spans="1:68" ht="14.25" customHeight="1"/>
    <row r="235" spans="1:68" ht="15.75" customHeight="1">
      <c r="E235" s="617" t="s">
        <v>517</v>
      </c>
      <c r="F235" s="411"/>
      <c r="G235" s="414"/>
      <c r="H235" s="414"/>
      <c r="I235" s="414"/>
      <c r="J235" s="414"/>
      <c r="K235" s="715"/>
      <c r="L235" s="175"/>
      <c r="M235" s="716"/>
      <c r="N235" s="426"/>
      <c r="O235" s="717"/>
      <c r="P235" s="185"/>
      <c r="Q235" s="426"/>
      <c r="R235" s="426"/>
      <c r="S235" s="718"/>
      <c r="T235" s="437"/>
      <c r="U235" s="492"/>
      <c r="V235" s="719"/>
      <c r="W235" s="185"/>
      <c r="X235" s="182"/>
      <c r="Y235" s="182"/>
      <c r="Z235" s="175"/>
      <c r="AA235" s="182"/>
      <c r="AB235" s="182"/>
      <c r="AC235" s="175"/>
      <c r="AD235" s="182">
        <f>AB235</f>
        <v>0</v>
      </c>
      <c r="AE235" s="182"/>
      <c r="AF235" s="426"/>
      <c r="AG235" s="183">
        <f>SUM(AL235:AN235)/12*AE235</f>
        <v>0</v>
      </c>
      <c r="AH235" s="491"/>
      <c r="AI235" s="182"/>
      <c r="AJ235" s="720">
        <f>IF(AH235=1,24,(IF(AH235=2,3*12,IF(AH235=3,12*5,IF(AH235=4,12*7,IF(AH235=5,120,IF(AH235=6,12*15,IF(AH235=7,12*20,IF(AH235=8,12*25,IF(AH235=9,12*30,361))))))))))</f>
        <v>361</v>
      </c>
      <c r="AK235" s="182"/>
      <c r="AL235" s="720">
        <f>AI235/AJ235*12</f>
        <v>0</v>
      </c>
      <c r="AM235" s="182"/>
      <c r="AN235" s="182"/>
      <c r="AO235" s="182"/>
      <c r="AP235" s="175"/>
      <c r="AQ235" s="182"/>
      <c r="AR235" s="182"/>
      <c r="AS235" s="183">
        <f>SUM(AY235:BA235)/12*AT235</f>
        <v>0</v>
      </c>
      <c r="AT235" s="182"/>
      <c r="AU235" s="491"/>
      <c r="AV235" s="182"/>
      <c r="AW235" s="720">
        <f>IF(AU235=1,24,(IF(AU235=2,3*12,IF(AU235=3,12*5,IF(AU235=4,12*7,IF(AU235=5,120,IF(AU235=6,12*15,IF(AU235=7,12*20,IF(AU235=8,12*25,IF(AU235=9,12*30,361))))))))))</f>
        <v>361</v>
      </c>
      <c r="AX235" s="182"/>
      <c r="AY235" s="720">
        <f>AV235/AW235*12</f>
        <v>0</v>
      </c>
      <c r="AZ235" s="182"/>
      <c r="BA235" s="182"/>
      <c r="BB235" s="175"/>
      <c r="BC235" s="182">
        <f>IF(AR235&lt;BD235,AR235,BD235)</f>
        <v>0</v>
      </c>
      <c r="BD235" s="183">
        <f>SUM(BJ235:BL235)/12*BE235</f>
        <v>0</v>
      </c>
      <c r="BE235" s="182">
        <f>AT235</f>
        <v>0</v>
      </c>
      <c r="BF235" s="182">
        <f>AU235</f>
        <v>0</v>
      </c>
      <c r="BG235" s="182">
        <f>AV235</f>
        <v>0</v>
      </c>
      <c r="BH235" s="183">
        <f>IF(BF235=1,24,(IF(BF235=2,3*12,IF(BF235=3,12*5,IF(BF235=4,12*7,IF(BF235=5,120,IF(BF235=6,12*15,IF(BF235=7,12*20,IF(BF235=8,12*25,IF(BF235=9,12*30,361))))))))))</f>
        <v>361</v>
      </c>
      <c r="BI235" s="182">
        <f>AX235</f>
        <v>0</v>
      </c>
      <c r="BJ235" s="182">
        <f>AY235</f>
        <v>0</v>
      </c>
      <c r="BK235" s="182">
        <f>AZ235</f>
        <v>0</v>
      </c>
      <c r="BL235" s="182">
        <f>BA235</f>
        <v>0</v>
      </c>
      <c r="BN235" s="185"/>
      <c r="BP235" s="185"/>
    </row>
    <row r="237" spans="1:68" ht="12" customHeight="1">
      <c r="A237" s="648" t="s">
        <v>2176</v>
      </c>
      <c r="B237" s="648" t="s">
        <v>476</v>
      </c>
    </row>
    <row r="239" spans="1:68" ht="20.25" customHeight="1">
      <c r="E239" s="617" t="s">
        <v>517</v>
      </c>
      <c r="F239" s="47"/>
      <c r="G239" s="172"/>
      <c r="H239" s="491"/>
      <c r="I239" s="489"/>
      <c r="J239" s="490"/>
      <c r="K239" s="489"/>
      <c r="L239" s="172"/>
      <c r="M239" s="548"/>
      <c r="N239" s="487"/>
      <c r="O239" s="487"/>
      <c r="P239" s="492"/>
      <c r="Q239" s="138"/>
      <c r="R239" s="426"/>
      <c r="S239" s="426"/>
      <c r="T239" s="138"/>
      <c r="U239" s="138"/>
      <c r="V239" s="75"/>
      <c r="W239" s="138"/>
      <c r="X239" s="487"/>
      <c r="Y239" s="47"/>
      <c r="Z239" s="487"/>
      <c r="AA239" s="75"/>
      <c r="AB239" s="47"/>
      <c r="AC239" s="75"/>
      <c r="AD239" s="75"/>
      <c r="AE239" s="47"/>
      <c r="AF239" s="75"/>
      <c r="AG239" s="75"/>
      <c r="AH239" s="47"/>
      <c r="AI239" s="75"/>
      <c r="AJ239" s="76"/>
      <c r="AK239" s="488"/>
      <c r="AL239" s="138"/>
      <c r="AN239" s="138"/>
    </row>
    <row r="241" spans="1:81" ht="12" customHeight="1">
      <c r="A241" s="648" t="s">
        <v>2177</v>
      </c>
      <c r="B241" s="648" t="s">
        <v>476</v>
      </c>
    </row>
    <row r="243" spans="1:81" ht="20.25" customHeight="1">
      <c r="E243" s="617" t="s">
        <v>517</v>
      </c>
      <c r="F243" s="47"/>
      <c r="G243" s="172"/>
      <c r="H243" s="491"/>
      <c r="I243" s="489"/>
      <c r="J243" s="490"/>
      <c r="K243" s="489"/>
      <c r="L243" s="172"/>
      <c r="M243" s="548"/>
      <c r="N243" s="487"/>
      <c r="O243" s="487"/>
      <c r="P243" s="492"/>
      <c r="Q243" s="138"/>
      <c r="R243" s="426"/>
      <c r="S243" s="426"/>
      <c r="T243" s="138"/>
      <c r="U243" s="138"/>
      <c r="V243" s="75"/>
      <c r="W243" s="138"/>
      <c r="X243" s="487"/>
      <c r="Y243" s="47"/>
      <c r="Z243" s="487"/>
      <c r="AA243" s="75"/>
      <c r="AB243" s="47"/>
      <c r="AC243" s="75"/>
      <c r="AD243" s="75"/>
      <c r="AE243" s="47"/>
      <c r="AF243" s="75"/>
      <c r="AG243" s="75"/>
      <c r="AH243" s="47"/>
      <c r="AI243" s="75"/>
      <c r="AJ243" s="76"/>
      <c r="AK243" s="488"/>
      <c r="AL243" s="138"/>
      <c r="AN243" s="138"/>
    </row>
    <row r="245" spans="1:81" ht="12" customHeight="1">
      <c r="A245" s="648" t="s">
        <v>2178</v>
      </c>
      <c r="B245" s="648" t="s">
        <v>478</v>
      </c>
    </row>
    <row r="246" spans="1:81" ht="16.5" customHeight="1">
      <c r="E246" s="617" t="s">
        <v>517</v>
      </c>
      <c r="F246" s="66"/>
      <c r="G246" s="172"/>
      <c r="H246" s="697"/>
      <c r="I246" s="721"/>
      <c r="J246" s="35"/>
      <c r="K246" s="103" t="str">
        <f>IF(L246="Прочее не ЭСХ","Прочее","ЭСХ"&amp;M246)</f>
        <v>ЭСХ</v>
      </c>
      <c r="L246" s="722"/>
      <c r="M246" s="172"/>
      <c r="N246" s="138"/>
      <c r="O246" s="76"/>
      <c r="P246" s="76"/>
      <c r="Q246" s="426"/>
      <c r="R246" s="699"/>
      <c r="S246" s="75"/>
      <c r="T246" s="723"/>
      <c r="U246" s="426"/>
      <c r="V246" s="75"/>
      <c r="W246" s="75"/>
      <c r="X246" s="75"/>
      <c r="Y246" s="75"/>
      <c r="Z246" s="78">
        <f>IF(I246=1,24,(IF(I246=2,3*12,IF(I246=3,12*5,IF(I246=4,12*7,IF(I246=5,120,IF(I246=6,12*15,IF(I246=7,12*20,IF(I246=8,12*25,IF(I246=9,12*30,361))))))))))</f>
        <v>361</v>
      </c>
      <c r="AA246" s="75"/>
      <c r="AB246" s="75">
        <f>S246/Z246</f>
        <v>0</v>
      </c>
      <c r="AC246" s="75">
        <f>AD246</f>
        <v>0</v>
      </c>
      <c r="AD246" s="75"/>
      <c r="AE246" s="74"/>
      <c r="AF246" s="75">
        <f>AD246*AE246</f>
        <v>0</v>
      </c>
      <c r="AG246" s="75">
        <f>IF(AH246&lt;AI246,AH246,AI246)</f>
        <v>0</v>
      </c>
      <c r="AH246" s="75">
        <f>IF((($AM$7-IF(Q246="",0,Q246))/365*12)&lt;Z246,X246-X246/Z246*(($AM$7-IF(Q246="",0,Q246))/365*12),0)</f>
        <v>0</v>
      </c>
      <c r="AI246" s="75">
        <f>X246/Z246*12</f>
        <v>0</v>
      </c>
      <c r="AJ246" s="75"/>
      <c r="AK246" s="75">
        <f>AJ246</f>
        <v>0</v>
      </c>
      <c r="AL246" s="75"/>
      <c r="AM246" s="74"/>
      <c r="AN246" s="78">
        <f>AL246*AM246</f>
        <v>0</v>
      </c>
      <c r="AO246" s="74"/>
      <c r="AP246" s="78">
        <f>AO246*AN246</f>
        <v>0</v>
      </c>
      <c r="AQ246" s="75"/>
      <c r="AR246" s="75"/>
      <c r="AS246" s="75"/>
      <c r="AT246" s="75"/>
      <c r="AU246" s="75">
        <f ca="1">IF((TODAY()-IF(Q246="",0,Q246))/30.4167,S246/Z246,0)</f>
        <v>0</v>
      </c>
      <c r="AV246" s="75">
        <f ca="1">AU246*12</f>
        <v>0</v>
      </c>
      <c r="AW246" s="75">
        <f ca="1">AV246</f>
        <v>0</v>
      </c>
      <c r="AX246" s="75">
        <f>AN246</f>
        <v>0</v>
      </c>
      <c r="AY246" s="74"/>
      <c r="AZ246" s="78">
        <f>AY246*AX246</f>
        <v>0</v>
      </c>
      <c r="BA246" s="75">
        <f>AL246</f>
        <v>0</v>
      </c>
      <c r="BB246" s="74">
        <f>AM246</f>
        <v>0</v>
      </c>
      <c r="BC246" s="75">
        <f>IF(S246&gt;0,S246,X246)</f>
        <v>0</v>
      </c>
      <c r="BD246" s="75">
        <f>Z246</f>
        <v>361</v>
      </c>
      <c r="BE246" s="75">
        <f>IF((($BH$7-IF($Q246="",0,$Q246))/365*12)&lt;$Z246,$X246-$X246/$Z246*(($BH$7-IF($Q246="",0,$Q246))/365*12),0)</f>
        <v>0</v>
      </c>
      <c r="BF246" s="75">
        <f>(($BH$7-IF($Q246="",0,$Q246))/365*12)+12</f>
        <v>12</v>
      </c>
      <c r="BG246" s="75">
        <f>IF((BD246-(($BC$14-IF($Q246="",0,$Q246))/365*12))&gt;0,BC246/BD246*12,0)</f>
        <v>0</v>
      </c>
      <c r="BH246" s="75">
        <f>IF(BE246&lt;BG246,BE246,BG246)</f>
        <v>0</v>
      </c>
      <c r="BI246" s="75">
        <f>BA246</f>
        <v>0</v>
      </c>
      <c r="BJ246" s="75">
        <f>BZ246</f>
        <v>0</v>
      </c>
      <c r="BK246" s="74">
        <f>BB246</f>
        <v>0</v>
      </c>
      <c r="BL246" s="167">
        <f>BJ246*BK246</f>
        <v>0</v>
      </c>
      <c r="BM246" s="89">
        <f>BE246</f>
        <v>0</v>
      </c>
      <c r="BN246" s="89">
        <f t="shared" ref="BN246:BY246" si="36">BM246-$BH246/12</f>
        <v>0</v>
      </c>
      <c r="BO246" s="89">
        <f t="shared" si="36"/>
        <v>0</v>
      </c>
      <c r="BP246" s="89">
        <f t="shared" si="36"/>
        <v>0</v>
      </c>
      <c r="BQ246" s="89">
        <f t="shared" si="36"/>
        <v>0</v>
      </c>
      <c r="BR246" s="89">
        <f t="shared" si="36"/>
        <v>0</v>
      </c>
      <c r="BS246" s="89">
        <f t="shared" si="36"/>
        <v>0</v>
      </c>
      <c r="BT246" s="89">
        <f t="shared" si="36"/>
        <v>0</v>
      </c>
      <c r="BU246" s="89">
        <f t="shared" si="36"/>
        <v>0</v>
      </c>
      <c r="BV246" s="89">
        <f t="shared" si="36"/>
        <v>0</v>
      </c>
      <c r="BW246" s="89">
        <f t="shared" si="36"/>
        <v>0</v>
      </c>
      <c r="BX246" s="89">
        <f t="shared" si="36"/>
        <v>0</v>
      </c>
      <c r="BY246" s="89">
        <f t="shared" si="36"/>
        <v>0</v>
      </c>
      <c r="BZ246" s="89">
        <f>SUM(BM246:BY246)/13</f>
        <v>0</v>
      </c>
      <c r="CB246" s="696"/>
      <c r="CC246" s="696"/>
    </row>
    <row r="248" spans="1:81" ht="12" customHeight="1">
      <c r="A248" s="648" t="s">
        <v>2179</v>
      </c>
      <c r="B248" s="648" t="s">
        <v>480</v>
      </c>
    </row>
    <row r="250" spans="1:81" ht="21.75" customHeight="1">
      <c r="K250" s="617" t="s">
        <v>517</v>
      </c>
      <c r="L250" s="1154"/>
      <c r="M250" s="496" t="str">
        <f>"Кадастровая стоимость основных средств облагаемых по ставке "&amp;N250*100&amp;"%"</f>
        <v>Кадастровая стоимость основных средств облагаемых по ставке 0%</v>
      </c>
      <c r="N250" s="724"/>
      <c r="O250" s="725"/>
      <c r="P250" s="726"/>
      <c r="Q250" s="688"/>
      <c r="R250" s="727"/>
      <c r="S250" s="725"/>
      <c r="T250" s="688"/>
      <c r="U250" s="725"/>
      <c r="V250" s="725"/>
      <c r="W250" s="688"/>
      <c r="X250" s="725"/>
      <c r="Y250" s="725"/>
      <c r="Z250" s="688"/>
      <c r="AA250" s="725"/>
      <c r="AB250" s="725"/>
      <c r="AC250" s="728"/>
      <c r="AD250" s="688"/>
      <c r="AE250" s="728"/>
      <c r="AG250" s="673"/>
      <c r="AI250" s="673"/>
    </row>
    <row r="251" spans="1:81" ht="21.75" customHeight="1">
      <c r="J251" s="729" t="b">
        <f>TRUE</f>
        <v>1</v>
      </c>
      <c r="L251" s="1155"/>
      <c r="M251" s="497" t="str">
        <f>"Налог на имущество по ставке  "&amp;N250*100&amp;"%"</f>
        <v>Налог на имущество по ставке  0%</v>
      </c>
      <c r="N251" s="498">
        <f>N250</f>
        <v>0</v>
      </c>
      <c r="O251" s="730">
        <f>O250*2%</f>
        <v>0</v>
      </c>
      <c r="P251" s="731">
        <f>P250*2%</f>
        <v>0</v>
      </c>
      <c r="Q251" s="688"/>
      <c r="R251" s="732">
        <f>R250*2%</f>
        <v>0</v>
      </c>
      <c r="S251" s="730">
        <f>S250*2%</f>
        <v>0</v>
      </c>
      <c r="T251" s="688"/>
      <c r="U251" s="730">
        <f>U250*2%</f>
        <v>0</v>
      </c>
      <c r="V251" s="730">
        <f>V250*2%</f>
        <v>0</v>
      </c>
      <c r="W251" s="688"/>
      <c r="X251" s="730">
        <f>X250*2%</f>
        <v>0</v>
      </c>
      <c r="Y251" s="730">
        <f>Y250*2%</f>
        <v>0</v>
      </c>
      <c r="Z251" s="688"/>
      <c r="AA251" s="730">
        <f>AA250*2%</f>
        <v>0</v>
      </c>
      <c r="AB251" s="730">
        <f>AB250*2%</f>
        <v>0</v>
      </c>
      <c r="AC251" s="733">
        <f>AC250*2%</f>
        <v>0</v>
      </c>
      <c r="AD251" s="688"/>
      <c r="AE251" s="733">
        <f>AE250*2%</f>
        <v>0</v>
      </c>
      <c r="AG251" s="673"/>
      <c r="AI251" s="673"/>
    </row>
    <row r="253" spans="1:81" ht="12" customHeight="1">
      <c r="A253" s="648" t="s">
        <v>2180</v>
      </c>
      <c r="B253" s="648" t="s">
        <v>486</v>
      </c>
    </row>
    <row r="255" spans="1:81" ht="12" customHeight="1">
      <c r="F255" s="617" t="s">
        <v>517</v>
      </c>
      <c r="G255" s="411"/>
      <c r="H255" s="734"/>
      <c r="I255" s="80" t="s">
        <v>2181</v>
      </c>
      <c r="J255" s="182"/>
      <c r="K255" s="182"/>
      <c r="L255" s="182"/>
      <c r="M255" s="182"/>
      <c r="N255" s="183">
        <f>SUM(J255:M255)</f>
        <v>0</v>
      </c>
      <c r="O255" s="182"/>
      <c r="P255" s="182"/>
      <c r="Q255" s="182"/>
      <c r="R255" s="182"/>
      <c r="S255" s="183">
        <f>SUM(O255:R255)</f>
        <v>0</v>
      </c>
      <c r="T255" s="183">
        <f>J255+O255</f>
        <v>0</v>
      </c>
      <c r="U255" s="183">
        <f>K255+P255</f>
        <v>0</v>
      </c>
      <c r="V255" s="183">
        <f>L255+Q255</f>
        <v>0</v>
      </c>
      <c r="W255" s="183">
        <f>M255+R255</f>
        <v>0</v>
      </c>
      <c r="X255" s="183">
        <f>SUM(T255:W255)</f>
        <v>0</v>
      </c>
    </row>
    <row r="256" spans="1:81" ht="12" customHeight="1">
      <c r="A256" s="648" t="s">
        <v>2182</v>
      </c>
      <c r="B256" s="648" t="s">
        <v>486</v>
      </c>
    </row>
    <row r="257" spans="1:24" ht="12" customHeight="1">
      <c r="G257" s="411"/>
      <c r="H257" s="533"/>
      <c r="I257" s="80" t="s">
        <v>2183</v>
      </c>
      <c r="J257" s="182"/>
      <c r="K257" s="182"/>
      <c r="L257" s="182"/>
      <c r="M257" s="182"/>
      <c r="N257" s="531"/>
      <c r="O257" s="182"/>
      <c r="P257" s="182"/>
      <c r="Q257" s="182"/>
      <c r="R257" s="182"/>
      <c r="S257" s="531"/>
      <c r="T257" s="531"/>
      <c r="U257" s="531"/>
      <c r="V257" s="531"/>
      <c r="W257" s="531"/>
      <c r="X257" s="531"/>
    </row>
    <row r="258" spans="1:24" ht="12" customHeight="1">
      <c r="A258" s="648" t="s">
        <v>2184</v>
      </c>
      <c r="B258" s="648" t="s">
        <v>486</v>
      </c>
    </row>
    <row r="259" spans="1:24" ht="12" customHeight="1">
      <c r="G259" s="411"/>
      <c r="H259" s="533"/>
      <c r="I259" s="80" t="s">
        <v>619</v>
      </c>
      <c r="J259" s="183"/>
      <c r="K259" s="183"/>
      <c r="L259" s="183"/>
      <c r="M259" s="183"/>
      <c r="N259" s="183">
        <f>SUM(J259:M259)</f>
        <v>0</v>
      </c>
      <c r="O259" s="183"/>
      <c r="P259" s="183"/>
      <c r="Q259" s="183"/>
      <c r="R259" s="183"/>
      <c r="S259" s="183">
        <f>SUM(O259:R259)</f>
        <v>0</v>
      </c>
      <c r="T259" s="183">
        <f>O259+J259</f>
        <v>0</v>
      </c>
      <c r="U259" s="183">
        <f>P259+K259</f>
        <v>0</v>
      </c>
      <c r="V259" s="183">
        <f>Q259+L259</f>
        <v>0</v>
      </c>
      <c r="W259" s="183">
        <f>R259+M259</f>
        <v>0</v>
      </c>
      <c r="X259" s="183">
        <f>SUM(T259:W259)</f>
        <v>0</v>
      </c>
    </row>
    <row r="262" spans="1:24" ht="12" customHeight="1">
      <c r="A262" s="648" t="s">
        <v>2185</v>
      </c>
      <c r="B262" s="648" t="s">
        <v>486</v>
      </c>
    </row>
    <row r="263" spans="1:24" ht="12" customHeight="1">
      <c r="F263" s="617" t="s">
        <v>517</v>
      </c>
      <c r="G263" s="1167"/>
      <c r="H263" s="735"/>
      <c r="I263" s="81"/>
      <c r="J263" s="79"/>
      <c r="K263" s="79"/>
      <c r="L263" s="79"/>
      <c r="M263" s="79"/>
      <c r="N263" s="79"/>
      <c r="O263" s="79"/>
      <c r="P263" s="79"/>
      <c r="Q263" s="79"/>
      <c r="R263" s="79"/>
      <c r="S263" s="79"/>
      <c r="T263" s="79"/>
      <c r="U263" s="79"/>
      <c r="V263" s="79"/>
      <c r="W263" s="79"/>
      <c r="X263" s="532"/>
    </row>
    <row r="264" spans="1:24" ht="12" customHeight="1">
      <c r="G264" s="1168"/>
      <c r="H264" s="170" t="s">
        <v>2186</v>
      </c>
      <c r="I264" s="736" t="s">
        <v>2181</v>
      </c>
      <c r="J264" s="737"/>
      <c r="K264" s="737"/>
      <c r="L264" s="737"/>
      <c r="M264" s="737"/>
      <c r="N264" s="186">
        <f>SUM(J264:M264)</f>
        <v>0</v>
      </c>
      <c r="O264" s="737"/>
      <c r="P264" s="737"/>
      <c r="Q264" s="737"/>
      <c r="R264" s="737"/>
      <c r="S264" s="186">
        <f>SUM(O264:R264)</f>
        <v>0</v>
      </c>
      <c r="T264" s="186">
        <f>J264+O264</f>
        <v>0</v>
      </c>
      <c r="U264" s="186">
        <f>K264+P264</f>
        <v>0</v>
      </c>
      <c r="V264" s="186">
        <f>L264+Q264</f>
        <v>0</v>
      </c>
      <c r="W264" s="186">
        <f>M264+R264</f>
        <v>0</v>
      </c>
      <c r="X264" s="186">
        <f>SUM(T264:W264)</f>
        <v>0</v>
      </c>
    </row>
    <row r="265" spans="1:24" ht="12" customHeight="1">
      <c r="G265" s="1169"/>
      <c r="H265" s="170" t="s">
        <v>2187</v>
      </c>
      <c r="I265" s="738" t="s">
        <v>639</v>
      </c>
      <c r="J265" s="182"/>
      <c r="K265" s="182"/>
      <c r="L265" s="182"/>
      <c r="M265" s="182"/>
      <c r="N265" s="183">
        <f>SUM(J265:M265)</f>
        <v>0</v>
      </c>
      <c r="O265" s="182"/>
      <c r="P265" s="182"/>
      <c r="Q265" s="182"/>
      <c r="R265" s="182"/>
      <c r="S265" s="183">
        <f>SUM(O265:R265)</f>
        <v>0</v>
      </c>
      <c r="T265" s="183">
        <f>(J265+O265)/2</f>
        <v>0</v>
      </c>
      <c r="U265" s="183">
        <f>(K265+P265)/2</f>
        <v>0</v>
      </c>
      <c r="V265" s="183">
        <f>(L265+Q265)/2</f>
        <v>0</v>
      </c>
      <c r="W265" s="183">
        <f>(M265+R265)/2</f>
        <v>0</v>
      </c>
      <c r="X265" s="183">
        <f>SUM(T265:W265)</f>
        <v>0</v>
      </c>
    </row>
    <row r="266" spans="1:24" ht="11.25" customHeight="1"/>
    <row r="267" spans="1:24" ht="12" customHeight="1">
      <c r="A267" s="648" t="s">
        <v>2188</v>
      </c>
      <c r="B267" s="648" t="s">
        <v>486</v>
      </c>
    </row>
    <row r="268" spans="1:24" ht="12" customHeight="1">
      <c r="G268" s="1189"/>
      <c r="H268" s="533"/>
      <c r="I268" s="79"/>
      <c r="J268" s="79"/>
      <c r="K268" s="79"/>
      <c r="L268" s="79"/>
      <c r="M268" s="79"/>
      <c r="N268" s="79"/>
      <c r="O268" s="79"/>
      <c r="P268" s="79"/>
      <c r="Q268" s="79"/>
      <c r="R268" s="79"/>
      <c r="S268" s="79"/>
      <c r="T268" s="79"/>
      <c r="U268" s="79"/>
      <c r="V268" s="79"/>
      <c r="W268" s="79"/>
      <c r="X268" s="79"/>
    </row>
    <row r="269" spans="1:24" ht="12" customHeight="1">
      <c r="G269" s="1190"/>
      <c r="H269" s="739" t="s">
        <v>2186</v>
      </c>
      <c r="I269" s="738" t="s">
        <v>2183</v>
      </c>
      <c r="J269" s="182"/>
      <c r="K269" s="182"/>
      <c r="L269" s="182"/>
      <c r="M269" s="182"/>
      <c r="N269" s="531"/>
      <c r="O269" s="182"/>
      <c r="P269" s="182"/>
      <c r="Q269" s="182"/>
      <c r="R269" s="182"/>
      <c r="S269" s="531"/>
      <c r="T269" s="531"/>
      <c r="U269" s="531"/>
      <c r="V269" s="531"/>
      <c r="W269" s="531"/>
      <c r="X269" s="531"/>
    </row>
    <row r="270" spans="1:24" ht="12" customHeight="1">
      <c r="G270" s="1191"/>
      <c r="H270" s="739" t="s">
        <v>2187</v>
      </c>
      <c r="I270" s="738" t="s">
        <v>2189</v>
      </c>
      <c r="J270" s="182"/>
      <c r="K270" s="182"/>
      <c r="L270" s="182"/>
      <c r="M270" s="182"/>
      <c r="N270" s="531"/>
      <c r="O270" s="182"/>
      <c r="P270" s="182"/>
      <c r="Q270" s="182"/>
      <c r="R270" s="182"/>
      <c r="S270" s="531"/>
      <c r="T270" s="531"/>
      <c r="U270" s="531"/>
      <c r="V270" s="531"/>
      <c r="W270" s="531"/>
      <c r="X270" s="531"/>
    </row>
    <row r="271" spans="1:24" ht="11.25" customHeight="1"/>
    <row r="272" spans="1:24" ht="12" customHeight="1">
      <c r="A272" s="648" t="s">
        <v>2190</v>
      </c>
      <c r="B272" s="648" t="s">
        <v>486</v>
      </c>
    </row>
    <row r="273" spans="7:24" ht="12" customHeight="1">
      <c r="G273" s="1189"/>
      <c r="H273" s="533"/>
      <c r="I273" s="79"/>
      <c r="J273" s="79"/>
      <c r="K273" s="79"/>
      <c r="L273" s="79"/>
      <c r="M273" s="79"/>
      <c r="N273" s="79"/>
      <c r="O273" s="79"/>
      <c r="P273" s="79"/>
      <c r="Q273" s="79"/>
      <c r="R273" s="79"/>
      <c r="S273" s="79"/>
      <c r="T273" s="79"/>
      <c r="U273" s="79"/>
      <c r="V273" s="79"/>
      <c r="W273" s="79"/>
      <c r="X273" s="79"/>
    </row>
    <row r="274" spans="7:24" ht="12" customHeight="1">
      <c r="G274" s="1190"/>
      <c r="H274" s="739" t="s">
        <v>2186</v>
      </c>
      <c r="I274" s="738" t="s">
        <v>619</v>
      </c>
      <c r="J274" s="183"/>
      <c r="K274" s="183"/>
      <c r="L274" s="183"/>
      <c r="M274" s="183"/>
      <c r="N274" s="183">
        <f>SUM(J274:M274)</f>
        <v>0</v>
      </c>
      <c r="O274" s="183"/>
      <c r="P274" s="183"/>
      <c r="Q274" s="183"/>
      <c r="R274" s="183"/>
      <c r="S274" s="183">
        <f>SUM(O274:R274)</f>
        <v>0</v>
      </c>
      <c r="T274" s="183">
        <f t="shared" ref="T274:W275" si="37">O274+J274</f>
        <v>0</v>
      </c>
      <c r="U274" s="183">
        <f t="shared" si="37"/>
        <v>0</v>
      </c>
      <c r="V274" s="183">
        <f t="shared" si="37"/>
        <v>0</v>
      </c>
      <c r="W274" s="183">
        <f t="shared" si="37"/>
        <v>0</v>
      </c>
      <c r="X274" s="183">
        <f>SUM(T274:W274)</f>
        <v>0</v>
      </c>
    </row>
    <row r="275" spans="7:24" ht="12" customHeight="1">
      <c r="G275" s="1191"/>
      <c r="H275" s="739" t="s">
        <v>2187</v>
      </c>
      <c r="I275" s="738" t="s">
        <v>619</v>
      </c>
      <c r="J275" s="183"/>
      <c r="K275" s="183"/>
      <c r="L275" s="183"/>
      <c r="M275" s="183"/>
      <c r="N275" s="183">
        <f>SUM(J275:M275)</f>
        <v>0</v>
      </c>
      <c r="O275" s="720"/>
      <c r="P275" s="720"/>
      <c r="Q275" s="720"/>
      <c r="R275" s="720"/>
      <c r="S275" s="183">
        <f>SUM(O275:R275)</f>
        <v>0</v>
      </c>
      <c r="T275" s="183">
        <f t="shared" si="37"/>
        <v>0</v>
      </c>
      <c r="U275" s="183">
        <f t="shared" si="37"/>
        <v>0</v>
      </c>
      <c r="V275" s="183">
        <f t="shared" si="37"/>
        <v>0</v>
      </c>
      <c r="W275" s="183">
        <f t="shared" si="37"/>
        <v>0</v>
      </c>
      <c r="X275" s="183">
        <f>SUM(T275:W275)</f>
        <v>0</v>
      </c>
    </row>
    <row r="276" spans="7:24" ht="11.25" customHeight="1"/>
    <row r="277" spans="7:24" ht="11.25" customHeight="1"/>
    <row r="278" spans="7:24" ht="11.25" customHeight="1"/>
    <row r="279" spans="7:24" ht="11.25" customHeight="1"/>
    <row r="280" spans="7:24" ht="11.25" customHeight="1"/>
    <row r="281" spans="7:24" ht="11.25" customHeight="1"/>
    <row r="282" spans="7:24" ht="11.25" customHeight="1"/>
    <row r="283" spans="7:24" ht="11.25" customHeight="1"/>
    <row r="284" spans="7:24" ht="11.25" customHeight="1"/>
    <row r="285" spans="7:24" ht="11.25" customHeight="1"/>
    <row r="286" spans="7:24" ht="11.25" customHeight="1"/>
    <row r="287" spans="7:24" ht="11.25" customHeight="1"/>
    <row r="290" spans="1:24" ht="12" customHeight="1">
      <c r="A290" s="648" t="s">
        <v>2191</v>
      </c>
      <c r="B290" s="648" t="s">
        <v>2192</v>
      </c>
    </row>
    <row r="292" spans="1:24" ht="18.75" customHeight="1">
      <c r="F292" s="617" t="s">
        <v>517</v>
      </c>
      <c r="G292" s="411"/>
      <c r="H292" s="734"/>
      <c r="I292" s="80" t="s">
        <v>2181</v>
      </c>
      <c r="J292" s="182"/>
      <c r="K292" s="182"/>
      <c r="L292" s="182"/>
      <c r="M292" s="182"/>
      <c r="N292" s="183">
        <f>SUM(J292:M292)</f>
        <v>0</v>
      </c>
      <c r="O292" s="182"/>
      <c r="P292" s="182"/>
      <c r="Q292" s="182"/>
      <c r="R292" s="182"/>
      <c r="S292" s="183">
        <f>SUM(O292:R292)</f>
        <v>0</v>
      </c>
      <c r="T292" s="183">
        <f>J292+O292</f>
        <v>0</v>
      </c>
      <c r="U292" s="183">
        <f>K292+P292</f>
        <v>0</v>
      </c>
      <c r="V292" s="183">
        <f>L292+Q292</f>
        <v>0</v>
      </c>
      <c r="W292" s="183">
        <f>M292+R292</f>
        <v>0</v>
      </c>
      <c r="X292" s="183">
        <f>SUM(T292:W292)</f>
        <v>0</v>
      </c>
    </row>
    <row r="293" spans="1:24" ht="12" customHeight="1">
      <c r="A293" s="648" t="s">
        <v>2193</v>
      </c>
      <c r="B293" s="648" t="s">
        <v>2192</v>
      </c>
    </row>
    <row r="294" spans="1:24" ht="18.75" customHeight="1">
      <c r="G294" s="411"/>
      <c r="H294" s="533"/>
      <c r="I294" s="80" t="s">
        <v>2183</v>
      </c>
      <c r="J294" s="182"/>
      <c r="K294" s="182"/>
      <c r="L294" s="182"/>
      <c r="M294" s="182"/>
      <c r="N294" s="531"/>
      <c r="O294" s="182"/>
      <c r="P294" s="182"/>
      <c r="Q294" s="182"/>
      <c r="R294" s="182"/>
      <c r="S294" s="531"/>
      <c r="T294" s="531"/>
      <c r="U294" s="531"/>
      <c r="V294" s="531"/>
      <c r="W294" s="531"/>
      <c r="X294" s="531"/>
    </row>
    <row r="295" spans="1:24" ht="12" customHeight="1">
      <c r="A295" s="648" t="s">
        <v>2194</v>
      </c>
      <c r="B295" s="648" t="s">
        <v>2192</v>
      </c>
    </row>
    <row r="296" spans="1:24" ht="18.75" customHeight="1">
      <c r="G296" s="411"/>
      <c r="H296" s="533"/>
      <c r="I296" s="80" t="s">
        <v>619</v>
      </c>
      <c r="J296" s="183"/>
      <c r="K296" s="183"/>
      <c r="L296" s="183"/>
      <c r="M296" s="183"/>
      <c r="N296" s="183">
        <f>SUM(J296:M296)</f>
        <v>0</v>
      </c>
      <c r="O296" s="183"/>
      <c r="P296" s="183"/>
      <c r="Q296" s="183"/>
      <c r="R296" s="183"/>
      <c r="S296" s="183">
        <f>SUM(O296:R296)</f>
        <v>0</v>
      </c>
      <c r="T296" s="183">
        <f>O296+J296</f>
        <v>0</v>
      </c>
      <c r="U296" s="183">
        <f>P296+K296</f>
        <v>0</v>
      </c>
      <c r="V296" s="183">
        <f>Q296+L296</f>
        <v>0</v>
      </c>
      <c r="W296" s="183">
        <f>R296+M296</f>
        <v>0</v>
      </c>
      <c r="X296" s="183">
        <f>SUM(T296:W296)</f>
        <v>0</v>
      </c>
    </row>
    <row r="299" spans="1:24" ht="12" customHeight="1">
      <c r="A299" s="648" t="s">
        <v>2195</v>
      </c>
      <c r="B299" s="648" t="s">
        <v>2192</v>
      </c>
    </row>
    <row r="300" spans="1:24" ht="18" customHeight="1">
      <c r="F300" s="617" t="s">
        <v>517</v>
      </c>
      <c r="G300" s="1167"/>
      <c r="H300" s="735"/>
      <c r="I300" s="81"/>
      <c r="J300" s="79"/>
      <c r="K300" s="79"/>
      <c r="L300" s="79"/>
      <c r="M300" s="79"/>
      <c r="N300" s="79"/>
      <c r="O300" s="79"/>
      <c r="P300" s="79"/>
      <c r="Q300" s="79"/>
      <c r="R300" s="79"/>
      <c r="S300" s="79"/>
      <c r="T300" s="79"/>
      <c r="U300" s="79"/>
      <c r="V300" s="79"/>
      <c r="W300" s="79"/>
      <c r="X300" s="532"/>
    </row>
    <row r="301" spans="1:24" ht="11.25" customHeight="1">
      <c r="G301" s="1168"/>
      <c r="H301" s="170" t="s">
        <v>2186</v>
      </c>
      <c r="I301" s="736" t="s">
        <v>2181</v>
      </c>
      <c r="J301" s="737"/>
      <c r="K301" s="737"/>
      <c r="L301" s="737"/>
      <c r="M301" s="737"/>
      <c r="N301" s="186">
        <f>SUM(J301:M301)</f>
        <v>0</v>
      </c>
      <c r="O301" s="737"/>
      <c r="P301" s="737"/>
      <c r="Q301" s="737"/>
      <c r="R301" s="737"/>
      <c r="S301" s="186">
        <f>SUM(O301:R301)</f>
        <v>0</v>
      </c>
      <c r="T301" s="186">
        <f>J301+O301</f>
        <v>0</v>
      </c>
      <c r="U301" s="186">
        <f>K301+P301</f>
        <v>0</v>
      </c>
      <c r="V301" s="186">
        <f>L301+Q301</f>
        <v>0</v>
      </c>
      <c r="W301" s="186">
        <f>M301+R301</f>
        <v>0</v>
      </c>
      <c r="X301" s="186">
        <f>SUM(T301:W301)</f>
        <v>0</v>
      </c>
    </row>
    <row r="302" spans="1:24" ht="11.25" customHeight="1">
      <c r="G302" s="1169"/>
      <c r="H302" s="170" t="s">
        <v>2187</v>
      </c>
      <c r="I302" s="738" t="s">
        <v>639</v>
      </c>
      <c r="J302" s="182"/>
      <c r="K302" s="182"/>
      <c r="L302" s="182"/>
      <c r="M302" s="182"/>
      <c r="N302" s="183">
        <f>SUM(J302:M302)</f>
        <v>0</v>
      </c>
      <c r="O302" s="182"/>
      <c r="P302" s="182"/>
      <c r="Q302" s="182"/>
      <c r="R302" s="182"/>
      <c r="S302" s="183">
        <f>SUM(O302:R302)</f>
        <v>0</v>
      </c>
      <c r="T302" s="183">
        <f>(J302+O302)/2</f>
        <v>0</v>
      </c>
      <c r="U302" s="183">
        <f>(K302+P302)/2</f>
        <v>0</v>
      </c>
      <c r="V302" s="183">
        <f>(L302+Q302)/2</f>
        <v>0</v>
      </c>
      <c r="W302" s="183">
        <f>(M302+R302)/2</f>
        <v>0</v>
      </c>
      <c r="X302" s="183">
        <f>SUM(T302:W302)</f>
        <v>0</v>
      </c>
    </row>
    <row r="303" spans="1:24" ht="11.25" customHeight="1"/>
    <row r="304" spans="1:24" ht="12" customHeight="1">
      <c r="A304" s="648" t="s">
        <v>2196</v>
      </c>
      <c r="B304" s="648" t="s">
        <v>2192</v>
      </c>
    </row>
    <row r="305" spans="1:24" ht="18.75" customHeight="1">
      <c r="G305" s="1167"/>
      <c r="H305" s="533"/>
      <c r="I305" s="79"/>
      <c r="J305" s="79"/>
      <c r="K305" s="79"/>
      <c r="L305" s="79"/>
      <c r="M305" s="79"/>
      <c r="N305" s="79"/>
      <c r="O305" s="79"/>
      <c r="P305" s="79"/>
      <c r="Q305" s="79"/>
      <c r="R305" s="79"/>
      <c r="S305" s="79"/>
      <c r="T305" s="79"/>
      <c r="U305" s="79"/>
      <c r="V305" s="79"/>
      <c r="W305" s="79"/>
      <c r="X305" s="79"/>
    </row>
    <row r="306" spans="1:24" ht="11.25" customHeight="1">
      <c r="G306" s="1168"/>
      <c r="H306" s="739" t="s">
        <v>2186</v>
      </c>
      <c r="I306" s="738" t="s">
        <v>2183</v>
      </c>
      <c r="J306" s="182"/>
      <c r="K306" s="182"/>
      <c r="L306" s="182"/>
      <c r="M306" s="182"/>
      <c r="N306" s="531"/>
      <c r="O306" s="182"/>
      <c r="P306" s="182"/>
      <c r="Q306" s="182"/>
      <c r="R306" s="182"/>
      <c r="S306" s="531"/>
      <c r="T306" s="531"/>
      <c r="U306" s="531"/>
      <c r="V306" s="531"/>
      <c r="W306" s="531"/>
      <c r="X306" s="531"/>
    </row>
    <row r="307" spans="1:24" ht="11.25" customHeight="1">
      <c r="G307" s="1169"/>
      <c r="H307" s="739" t="s">
        <v>2187</v>
      </c>
      <c r="I307" s="738" t="s">
        <v>2189</v>
      </c>
      <c r="J307" s="182"/>
      <c r="K307" s="182"/>
      <c r="L307" s="182"/>
      <c r="M307" s="182"/>
      <c r="N307" s="531"/>
      <c r="O307" s="182"/>
      <c r="P307" s="182"/>
      <c r="Q307" s="182"/>
      <c r="R307" s="182"/>
      <c r="S307" s="531"/>
      <c r="T307" s="531"/>
      <c r="U307" s="531"/>
      <c r="V307" s="531"/>
      <c r="W307" s="531"/>
      <c r="X307" s="531"/>
    </row>
    <row r="308" spans="1:24" ht="11.25" customHeight="1"/>
    <row r="309" spans="1:24" ht="12" customHeight="1">
      <c r="A309" s="648" t="s">
        <v>2197</v>
      </c>
      <c r="B309" s="648" t="s">
        <v>2192</v>
      </c>
    </row>
    <row r="310" spans="1:24" ht="18.75" customHeight="1">
      <c r="G310" s="1167"/>
      <c r="H310" s="533"/>
      <c r="I310" s="79"/>
      <c r="J310" s="79"/>
      <c r="K310" s="79"/>
      <c r="L310" s="79"/>
      <c r="M310" s="79"/>
      <c r="N310" s="79"/>
      <c r="O310" s="79"/>
      <c r="P310" s="79"/>
      <c r="Q310" s="79"/>
      <c r="R310" s="79"/>
      <c r="S310" s="79"/>
      <c r="T310" s="79"/>
      <c r="U310" s="79"/>
      <c r="V310" s="79"/>
      <c r="W310" s="79"/>
      <c r="X310" s="79"/>
    </row>
    <row r="311" spans="1:24" ht="11.25" customHeight="1">
      <c r="G311" s="1168"/>
      <c r="H311" s="739" t="s">
        <v>2186</v>
      </c>
      <c r="I311" s="738" t="s">
        <v>619</v>
      </c>
      <c r="J311" s="183"/>
      <c r="K311" s="183"/>
      <c r="L311" s="183"/>
      <c r="M311" s="183"/>
      <c r="N311" s="183">
        <f>SUM(J311:M311)</f>
        <v>0</v>
      </c>
      <c r="O311" s="183"/>
      <c r="P311" s="183"/>
      <c r="Q311" s="183"/>
      <c r="R311" s="183"/>
      <c r="S311" s="183">
        <f>SUM(O311:R311)</f>
        <v>0</v>
      </c>
      <c r="T311" s="183">
        <f t="shared" ref="T311:W312" si="38">O311+J311</f>
        <v>0</v>
      </c>
      <c r="U311" s="183">
        <f t="shared" si="38"/>
        <v>0</v>
      </c>
      <c r="V311" s="183">
        <f t="shared" si="38"/>
        <v>0</v>
      </c>
      <c r="W311" s="183">
        <f t="shared" si="38"/>
        <v>0</v>
      </c>
      <c r="X311" s="183">
        <f>SUM(T311:W311)</f>
        <v>0</v>
      </c>
    </row>
    <row r="312" spans="1:24" ht="11.25" customHeight="1">
      <c r="G312" s="1169"/>
      <c r="H312" s="739" t="s">
        <v>2187</v>
      </c>
      <c r="I312" s="738" t="s">
        <v>619</v>
      </c>
      <c r="J312" s="183"/>
      <c r="K312" s="183"/>
      <c r="L312" s="183"/>
      <c r="M312" s="183"/>
      <c r="N312" s="183">
        <f>SUM(J312:M312)</f>
        <v>0</v>
      </c>
      <c r="O312" s="183"/>
      <c r="P312" s="183"/>
      <c r="Q312" s="183"/>
      <c r="R312" s="183"/>
      <c r="S312" s="183">
        <f>SUM(O312:R312)</f>
        <v>0</v>
      </c>
      <c r="T312" s="183">
        <f t="shared" si="38"/>
        <v>0</v>
      </c>
      <c r="U312" s="183">
        <f t="shared" si="38"/>
        <v>0</v>
      </c>
      <c r="V312" s="183">
        <f t="shared" si="38"/>
        <v>0</v>
      </c>
      <c r="W312" s="183">
        <f t="shared" si="38"/>
        <v>0</v>
      </c>
      <c r="X312" s="183">
        <f>SUM(T312:W312)</f>
        <v>0</v>
      </c>
    </row>
    <row r="314" spans="1:24" ht="12" customHeight="1">
      <c r="A314" s="648" t="s">
        <v>2198</v>
      </c>
      <c r="B314" s="648" t="s">
        <v>465</v>
      </c>
    </row>
    <row r="316" spans="1:24" ht="18.75" customHeight="1">
      <c r="F316" s="617" t="s">
        <v>517</v>
      </c>
      <c r="G316" s="740"/>
      <c r="H316" s="741"/>
      <c r="I316" s="741"/>
      <c r="J316" s="742"/>
      <c r="K316" s="741"/>
      <c r="L316" s="741"/>
      <c r="M316" s="743"/>
      <c r="N316" s="742"/>
      <c r="O316" s="742"/>
      <c r="P316" s="741"/>
      <c r="Q316" s="741"/>
      <c r="R316" s="741"/>
      <c r="S316" s="430"/>
      <c r="T316" s="431"/>
      <c r="U316" s="744">
        <f>S316*T316/1000</f>
        <v>0</v>
      </c>
      <c r="V316" s="742"/>
    </row>
    <row r="318" spans="1:24" ht="12" customHeight="1">
      <c r="A318" s="648" t="s">
        <v>2199</v>
      </c>
      <c r="B318" s="648" t="s">
        <v>465</v>
      </c>
    </row>
    <row r="320" spans="1:24" ht="18.75" customHeight="1">
      <c r="F320" s="617" t="s">
        <v>517</v>
      </c>
      <c r="G320" s="740"/>
      <c r="H320" s="741"/>
      <c r="I320" s="741"/>
      <c r="J320" s="742"/>
      <c r="K320" s="741"/>
      <c r="L320" s="741"/>
      <c r="M320" s="743"/>
      <c r="N320" s="742"/>
      <c r="O320" s="742"/>
      <c r="P320" s="741"/>
      <c r="Q320" s="741"/>
      <c r="R320" s="741"/>
      <c r="S320" s="430"/>
      <c r="T320" s="431"/>
      <c r="U320" s="744">
        <f>S320*T320/1000</f>
        <v>0</v>
      </c>
      <c r="V320" s="742"/>
    </row>
    <row r="322" spans="1:16" ht="12" customHeight="1">
      <c r="A322" s="648" t="s">
        <v>2200</v>
      </c>
      <c r="B322" s="648" t="s">
        <v>437</v>
      </c>
    </row>
    <row r="324" spans="1:16" ht="15" customHeight="1">
      <c r="F324" s="617" t="s">
        <v>517</v>
      </c>
      <c r="G324" s="47"/>
      <c r="H324" s="745"/>
      <c r="I324" s="35"/>
    </row>
    <row r="326" spans="1:16" ht="12" customHeight="1">
      <c r="A326" s="648" t="s">
        <v>2201</v>
      </c>
      <c r="B326" s="648" t="s">
        <v>437</v>
      </c>
    </row>
    <row r="328" spans="1:16" ht="15" customHeight="1">
      <c r="F328" s="617" t="s">
        <v>517</v>
      </c>
      <c r="G328" s="47"/>
      <c r="H328" s="745"/>
      <c r="I328" s="35"/>
    </row>
    <row r="330" spans="1:16" ht="12" customHeight="1">
      <c r="A330" s="648" t="s">
        <v>2202</v>
      </c>
      <c r="B330" s="648" t="s">
        <v>438</v>
      </c>
    </row>
    <row r="332" spans="1:16" ht="15" customHeight="1">
      <c r="F332" s="617" t="s">
        <v>517</v>
      </c>
      <c r="G332" s="47"/>
      <c r="H332" s="61"/>
      <c r="I332" s="746"/>
      <c r="J332" s="62"/>
    </row>
    <row r="334" spans="1:16" ht="12" customHeight="1">
      <c r="A334" s="648" t="s">
        <v>2203</v>
      </c>
      <c r="B334" s="648" t="s">
        <v>489</v>
      </c>
    </row>
    <row r="336" spans="1:16" ht="23.25" customHeight="1">
      <c r="E336" s="617" t="s">
        <v>517</v>
      </c>
      <c r="F336" s="1161"/>
      <c r="G336" s="697"/>
      <c r="H336" s="747"/>
      <c r="I336" s="747"/>
      <c r="J336" s="747"/>
      <c r="K336" s="747"/>
      <c r="L336" s="747"/>
      <c r="M336" s="747"/>
      <c r="N336" s="747"/>
      <c r="O336" s="747"/>
      <c r="P336" s="747"/>
    </row>
    <row r="337" spans="1:21" ht="23.25" customHeight="1">
      <c r="F337" s="1162"/>
      <c r="G337" s="697"/>
      <c r="H337" s="747"/>
      <c r="I337" s="747"/>
      <c r="J337" s="747"/>
      <c r="K337" s="747"/>
      <c r="L337" s="747"/>
      <c r="M337" s="747"/>
      <c r="N337" s="747"/>
      <c r="O337" s="747"/>
      <c r="P337" s="747"/>
    </row>
    <row r="338" spans="1:21" ht="23.25" customHeight="1">
      <c r="F338" s="1162"/>
      <c r="G338" s="697"/>
      <c r="H338" s="747"/>
      <c r="I338" s="747"/>
      <c r="J338" s="747"/>
      <c r="K338" s="747"/>
      <c r="L338" s="747"/>
      <c r="M338" s="747"/>
      <c r="N338" s="747"/>
      <c r="O338" s="747"/>
      <c r="P338" s="747"/>
    </row>
    <row r="339" spans="1:21" ht="23.25" customHeight="1">
      <c r="F339" s="1162"/>
      <c r="G339" s="469"/>
      <c r="H339" s="748"/>
      <c r="I339" s="748"/>
      <c r="J339" s="748"/>
      <c r="K339" s="748"/>
      <c r="L339" s="748"/>
      <c r="M339" s="748"/>
      <c r="N339" s="748"/>
      <c r="O339" s="748"/>
      <c r="P339" s="748"/>
    </row>
    <row r="340" spans="1:21" ht="23.25" customHeight="1">
      <c r="F340" s="850"/>
      <c r="G340" s="697"/>
      <c r="H340" s="749">
        <f>IF(I340=0,0,J340/I340*1000)</f>
        <v>0</v>
      </c>
      <c r="I340" s="750"/>
      <c r="J340" s="750"/>
      <c r="K340" s="750"/>
      <c r="L340" s="750"/>
      <c r="M340" s="751">
        <f>IF(L340=0,0,K340*L340/1000)</f>
        <v>0</v>
      </c>
      <c r="N340" s="750"/>
      <c r="O340" s="750"/>
      <c r="P340" s="751">
        <f>IF(O340=0,0,N340*O340/1000)</f>
        <v>0</v>
      </c>
      <c r="U340" s="638" t="str">
        <f>CONCATENATE(F336,"::",G336,"::",G337,"::",G338,"::",G339,"::",G340)</f>
        <v>::::::::::</v>
      </c>
    </row>
    <row r="342" spans="1:21" ht="12" customHeight="1">
      <c r="A342" s="648" t="s">
        <v>2204</v>
      </c>
      <c r="B342" s="648" t="s">
        <v>489</v>
      </c>
    </row>
    <row r="344" spans="1:21" ht="23.25" customHeight="1">
      <c r="E344" s="617" t="s">
        <v>517</v>
      </c>
      <c r="F344" s="1160"/>
      <c r="G344" s="697"/>
      <c r="H344" s="747"/>
      <c r="I344" s="747"/>
      <c r="J344" s="747"/>
      <c r="K344" s="747"/>
      <c r="L344" s="747"/>
      <c r="M344" s="747"/>
      <c r="N344" s="747"/>
      <c r="O344" s="747"/>
      <c r="P344" s="747"/>
    </row>
    <row r="345" spans="1:21" ht="23.25" customHeight="1">
      <c r="F345" s="1173"/>
      <c r="G345" s="697"/>
      <c r="H345" s="747"/>
      <c r="I345" s="747"/>
      <c r="J345" s="747"/>
      <c r="K345" s="747"/>
      <c r="L345" s="747"/>
      <c r="M345" s="747"/>
      <c r="N345" s="747"/>
      <c r="O345" s="747"/>
      <c r="P345" s="747"/>
    </row>
    <row r="346" spans="1:21" ht="23.25" customHeight="1">
      <c r="F346" s="1173"/>
      <c r="G346" s="697"/>
      <c r="H346" s="747"/>
      <c r="I346" s="747"/>
      <c r="J346" s="747"/>
      <c r="K346" s="747"/>
      <c r="L346" s="747"/>
      <c r="M346" s="747"/>
      <c r="N346" s="747"/>
      <c r="O346" s="747"/>
      <c r="P346" s="747"/>
    </row>
    <row r="347" spans="1:21" ht="23.25" customHeight="1">
      <c r="F347" s="1173"/>
      <c r="G347" s="697"/>
      <c r="H347" s="747"/>
      <c r="I347" s="747"/>
      <c r="J347" s="747"/>
      <c r="K347" s="747"/>
      <c r="L347" s="747"/>
      <c r="M347" s="747"/>
      <c r="N347" s="747"/>
      <c r="O347" s="747"/>
      <c r="P347" s="747"/>
    </row>
    <row r="348" spans="1:21" ht="23.25" customHeight="1">
      <c r="F348" s="850"/>
      <c r="G348" s="697"/>
      <c r="H348" s="751">
        <f>IF(I348=0,0,J348/I348*1000)</f>
        <v>0</v>
      </c>
      <c r="I348" s="750"/>
      <c r="J348" s="750"/>
      <c r="K348" s="750"/>
      <c r="L348" s="750"/>
      <c r="M348" s="751">
        <f>IF(L348=0,0,K348*L348/1000)</f>
        <v>0</v>
      </c>
      <c r="N348" s="750"/>
      <c r="O348" s="750"/>
      <c r="P348" s="751">
        <f>IF(O348=0,0,N348*O348/1000)</f>
        <v>0</v>
      </c>
      <c r="U348" s="638" t="str">
        <f>CONCATENATE(F344,"::",G344,"::",G345,"::",G346,"::",G347,"::",G348)</f>
        <v>::::::::::</v>
      </c>
    </row>
    <row r="350" spans="1:21" ht="12" customHeight="1">
      <c r="A350" s="648" t="s">
        <v>2205</v>
      </c>
      <c r="B350" s="648" t="s">
        <v>489</v>
      </c>
    </row>
    <row r="352" spans="1:21" ht="23.25" customHeight="1">
      <c r="E352" s="617" t="s">
        <v>517</v>
      </c>
      <c r="F352" s="1160"/>
      <c r="G352" s="697"/>
      <c r="H352" s="747"/>
      <c r="I352" s="747"/>
      <c r="J352" s="747"/>
      <c r="K352" s="747"/>
      <c r="L352" s="747"/>
      <c r="M352" s="747"/>
      <c r="N352" s="747"/>
      <c r="O352" s="747"/>
      <c r="P352" s="747"/>
    </row>
    <row r="353" spans="1:21" ht="23.25" customHeight="1">
      <c r="F353" s="1173"/>
      <c r="G353" s="697"/>
      <c r="H353" s="747"/>
      <c r="I353" s="747"/>
      <c r="J353" s="747"/>
      <c r="K353" s="747"/>
      <c r="L353" s="747"/>
      <c r="M353" s="747"/>
      <c r="N353" s="747"/>
      <c r="O353" s="747"/>
      <c r="P353" s="747"/>
    </row>
    <row r="354" spans="1:21" ht="23.25" customHeight="1">
      <c r="F354" s="850"/>
      <c r="G354" s="697"/>
      <c r="H354" s="751">
        <f>IF(I354=0,0,J354/I354*1000)</f>
        <v>0</v>
      </c>
      <c r="I354" s="750"/>
      <c r="J354" s="750"/>
      <c r="K354" s="750"/>
      <c r="L354" s="750"/>
      <c r="M354" s="751">
        <f>IF(L354=0,0,K354*L354/1000)</f>
        <v>0</v>
      </c>
      <c r="N354" s="750"/>
      <c r="O354" s="750"/>
      <c r="P354" s="751">
        <f>IF(O354=0,0,N354*O354/1000)</f>
        <v>0</v>
      </c>
      <c r="U354" s="638" t="str">
        <f>CONCATENATE(F352,"::",G352,"::",G353,"::",G354)</f>
        <v>::::::</v>
      </c>
    </row>
    <row r="356" spans="1:21" ht="12" customHeight="1">
      <c r="A356" s="648" t="s">
        <v>2206</v>
      </c>
      <c r="B356" s="648" t="s">
        <v>489</v>
      </c>
    </row>
    <row r="358" spans="1:21" ht="23.25" customHeight="1">
      <c r="E358" s="617" t="s">
        <v>517</v>
      </c>
      <c r="F358" s="1160"/>
      <c r="G358" s="697"/>
      <c r="H358" s="747"/>
      <c r="I358" s="747"/>
      <c r="J358" s="747"/>
      <c r="K358" s="747"/>
      <c r="L358" s="747"/>
      <c r="M358" s="747"/>
      <c r="N358" s="747"/>
      <c r="O358" s="747"/>
      <c r="P358" s="747"/>
    </row>
    <row r="359" spans="1:21" ht="23.25" customHeight="1">
      <c r="F359" s="1173"/>
      <c r="G359" s="697"/>
      <c r="H359" s="747"/>
      <c r="I359" s="747"/>
      <c r="J359" s="747"/>
      <c r="K359" s="747"/>
      <c r="L359" s="747"/>
      <c r="M359" s="747"/>
      <c r="N359" s="747"/>
      <c r="O359" s="747"/>
      <c r="P359" s="747"/>
    </row>
    <row r="360" spans="1:21" ht="23.25" customHeight="1">
      <c r="F360" s="1173"/>
      <c r="G360" s="697"/>
      <c r="H360" s="747"/>
      <c r="I360" s="747"/>
      <c r="J360" s="747"/>
      <c r="K360" s="747"/>
      <c r="L360" s="747"/>
      <c r="M360" s="747"/>
      <c r="N360" s="747"/>
      <c r="O360" s="747"/>
      <c r="P360" s="747"/>
    </row>
    <row r="361" spans="1:21" ht="23.25" customHeight="1">
      <c r="F361" s="850"/>
      <c r="G361" s="697"/>
      <c r="H361" s="751">
        <f>IF(I361=0,0,J361/I361*1000)</f>
        <v>0</v>
      </c>
      <c r="I361" s="750"/>
      <c r="J361" s="750"/>
      <c r="K361" s="750"/>
      <c r="L361" s="750"/>
      <c r="M361" s="751">
        <f>IF(L361=0,0,K361*L361/1000)</f>
        <v>0</v>
      </c>
      <c r="N361" s="750"/>
      <c r="O361" s="750"/>
      <c r="P361" s="751">
        <f>IF(O361=0,0,N361*O361/1000)</f>
        <v>0</v>
      </c>
      <c r="U361" s="638" t="str">
        <f>CONCATENATE(F358,"::",G358,"::",G359,"::",G360,"::",G361)</f>
        <v>::::::::</v>
      </c>
    </row>
    <row r="363" spans="1:21" ht="12" customHeight="1">
      <c r="A363" s="648" t="s">
        <v>2207</v>
      </c>
      <c r="B363" s="648" t="s">
        <v>489</v>
      </c>
    </row>
    <row r="365" spans="1:21" ht="23.25" customHeight="1">
      <c r="E365" s="617" t="s">
        <v>517</v>
      </c>
      <c r="F365" s="1160"/>
      <c r="G365" s="697"/>
      <c r="H365" s="747"/>
      <c r="I365" s="747"/>
      <c r="J365" s="747"/>
      <c r="K365" s="747"/>
      <c r="L365" s="747"/>
      <c r="M365" s="747"/>
      <c r="N365" s="747"/>
      <c r="O365" s="747"/>
      <c r="P365" s="747"/>
    </row>
    <row r="366" spans="1:21" ht="23.25" customHeight="1">
      <c r="F366" s="1173"/>
      <c r="G366" s="697"/>
      <c r="H366" s="747"/>
      <c r="I366" s="747"/>
      <c r="J366" s="747"/>
      <c r="K366" s="747"/>
      <c r="L366" s="747"/>
      <c r="M366" s="747"/>
      <c r="N366" s="747"/>
      <c r="O366" s="747"/>
      <c r="P366" s="747"/>
    </row>
    <row r="367" spans="1:21" ht="23.25" customHeight="1">
      <c r="F367" s="1173"/>
      <c r="G367" s="697"/>
      <c r="H367" s="747"/>
      <c r="I367" s="747"/>
      <c r="J367" s="747"/>
      <c r="K367" s="747"/>
      <c r="L367" s="747"/>
      <c r="M367" s="747"/>
      <c r="N367" s="747"/>
      <c r="O367" s="747"/>
      <c r="P367" s="747"/>
    </row>
    <row r="368" spans="1:21" ht="23.25" customHeight="1">
      <c r="F368" s="850"/>
      <c r="G368" s="697"/>
      <c r="H368" s="751">
        <f>IF(I368=0,0,J368/I368*1000)</f>
        <v>0</v>
      </c>
      <c r="I368" s="750"/>
      <c r="J368" s="750"/>
      <c r="K368" s="750"/>
      <c r="L368" s="750"/>
      <c r="M368" s="751">
        <f>IF(L368=0,0,K368*L368/1000)</f>
        <v>0</v>
      </c>
      <c r="N368" s="750"/>
      <c r="O368" s="750"/>
      <c r="P368" s="751">
        <f>IF(O368=0,0,N368*O368/1000)</f>
        <v>0</v>
      </c>
      <c r="U368" s="638" t="str">
        <f>CONCATENATE(F365,"::",G365,"::",G366,"::",G367,"::",G368)</f>
        <v>::::::::</v>
      </c>
    </row>
    <row r="369" spans="1:21" ht="11.25" customHeight="1"/>
    <row r="370" spans="1:21" ht="12" customHeight="1">
      <c r="A370" s="648" t="s">
        <v>2208</v>
      </c>
      <c r="B370" s="648" t="s">
        <v>489</v>
      </c>
    </row>
    <row r="372" spans="1:21" ht="23.25" customHeight="1">
      <c r="E372" s="617" t="s">
        <v>517</v>
      </c>
      <c r="F372" s="1160"/>
      <c r="G372" s="697"/>
      <c r="H372" s="747"/>
      <c r="I372" s="747"/>
      <c r="J372" s="747"/>
      <c r="K372" s="747"/>
      <c r="L372" s="747"/>
      <c r="M372" s="747"/>
      <c r="N372" s="747"/>
      <c r="O372" s="747"/>
      <c r="P372" s="747"/>
    </row>
    <row r="373" spans="1:21" ht="23.25" customHeight="1">
      <c r="F373" s="1173"/>
      <c r="G373" s="697"/>
      <c r="H373" s="747"/>
      <c r="I373" s="747"/>
      <c r="J373" s="747"/>
      <c r="K373" s="747"/>
      <c r="L373" s="747"/>
      <c r="M373" s="747"/>
      <c r="N373" s="747"/>
      <c r="O373" s="747"/>
      <c r="P373" s="747"/>
    </row>
    <row r="374" spans="1:21" ht="23.25" customHeight="1">
      <c r="F374" s="1173"/>
      <c r="G374" s="697"/>
      <c r="H374" s="747"/>
      <c r="I374" s="747"/>
      <c r="J374" s="747"/>
      <c r="K374" s="747"/>
      <c r="L374" s="747"/>
      <c r="M374" s="747"/>
      <c r="N374" s="747"/>
      <c r="O374" s="747"/>
      <c r="P374" s="747"/>
    </row>
    <row r="375" spans="1:21" ht="23.25" customHeight="1">
      <c r="F375" s="850"/>
      <c r="G375" s="697"/>
      <c r="H375" s="751">
        <f>IF(I375=0,0,J375/I375*1000)</f>
        <v>0</v>
      </c>
      <c r="I375" s="750"/>
      <c r="J375" s="750"/>
      <c r="K375" s="750"/>
      <c r="L375" s="750"/>
      <c r="M375" s="751">
        <f>IF(L375=0,0,K375*L375/1000)</f>
        <v>0</v>
      </c>
      <c r="N375" s="750"/>
      <c r="O375" s="750"/>
      <c r="P375" s="751">
        <f>IF(O375=0,0,N375*O375/1000)</f>
        <v>0</v>
      </c>
      <c r="U375" s="638" t="str">
        <f>CONCATENATE(F372,"::",G372,"::",G373,"::",G374,"::",G375)</f>
        <v>::::::::</v>
      </c>
    </row>
    <row r="377" spans="1:21" ht="12" customHeight="1">
      <c r="A377" s="648" t="s">
        <v>2209</v>
      </c>
      <c r="B377" s="648" t="s">
        <v>489</v>
      </c>
    </row>
    <row r="379" spans="1:21" ht="23.25" customHeight="1">
      <c r="E379" s="617" t="s">
        <v>517</v>
      </c>
      <c r="F379" s="1160"/>
      <c r="G379" s="697"/>
      <c r="H379" s="747"/>
      <c r="I379" s="747"/>
      <c r="J379" s="747"/>
      <c r="K379" s="747"/>
      <c r="L379" s="747"/>
      <c r="M379" s="747"/>
      <c r="N379" s="747"/>
      <c r="O379" s="747"/>
      <c r="P379" s="747"/>
    </row>
    <row r="380" spans="1:21" ht="23.25" customHeight="1">
      <c r="F380" s="850"/>
      <c r="G380" s="697"/>
      <c r="H380" s="751">
        <f>IF(I380=0,0,J380/I380*1000)</f>
        <v>0</v>
      </c>
      <c r="I380" s="750"/>
      <c r="J380" s="750"/>
      <c r="K380" s="750"/>
      <c r="L380" s="750"/>
      <c r="M380" s="751">
        <f>IF(L380=0,0,K380*L380/1000)</f>
        <v>0</v>
      </c>
      <c r="N380" s="750"/>
      <c r="O380" s="750"/>
      <c r="P380" s="751">
        <f>IF(O380=0,0,N380*O380/1000)</f>
        <v>0</v>
      </c>
      <c r="U380" s="638" t="str">
        <f>CONCATENATE(F379,"::",G379,"::",G380)</f>
        <v>::::</v>
      </c>
    </row>
    <row r="382" spans="1:21" ht="12" customHeight="1">
      <c r="A382" s="648" t="s">
        <v>2210</v>
      </c>
      <c r="B382" s="648" t="s">
        <v>490</v>
      </c>
    </row>
    <row r="384" spans="1:21" ht="23.25" customHeight="1">
      <c r="E384" s="617" t="s">
        <v>517</v>
      </c>
      <c r="F384" s="1161"/>
      <c r="G384" s="697"/>
      <c r="H384" s="747"/>
      <c r="I384" s="747"/>
      <c r="J384" s="747"/>
      <c r="K384" s="747"/>
      <c r="L384" s="747"/>
      <c r="M384" s="747"/>
      <c r="N384" s="747"/>
      <c r="O384" s="747"/>
      <c r="P384" s="747"/>
    </row>
    <row r="385" spans="1:21" ht="23.25" customHeight="1">
      <c r="F385" s="1162"/>
      <c r="G385" s="697"/>
      <c r="H385" s="747"/>
      <c r="I385" s="747"/>
      <c r="J385" s="747"/>
      <c r="K385" s="747"/>
      <c r="L385" s="747"/>
      <c r="M385" s="747"/>
      <c r="N385" s="747"/>
      <c r="O385" s="747"/>
      <c r="P385" s="747"/>
    </row>
    <row r="386" spans="1:21" ht="23.25" customHeight="1">
      <c r="F386" s="1162"/>
      <c r="G386" s="697"/>
      <c r="H386" s="747"/>
      <c r="I386" s="747"/>
      <c r="J386" s="747"/>
      <c r="K386" s="747"/>
      <c r="L386" s="747"/>
      <c r="M386" s="747"/>
      <c r="N386" s="747"/>
      <c r="O386" s="747"/>
      <c r="P386" s="747"/>
    </row>
    <row r="387" spans="1:21" ht="23.25" customHeight="1">
      <c r="F387" s="1162"/>
      <c r="G387" s="697"/>
      <c r="H387" s="747"/>
      <c r="I387" s="747"/>
      <c r="J387" s="747"/>
      <c r="K387" s="747"/>
      <c r="L387" s="747"/>
      <c r="M387" s="747"/>
      <c r="N387" s="747"/>
      <c r="O387" s="747"/>
      <c r="P387" s="747"/>
    </row>
    <row r="388" spans="1:21" ht="23.25" customHeight="1">
      <c r="F388" s="1163"/>
      <c r="G388" s="697"/>
      <c r="H388" s="751">
        <f>IF(I388=0,0,J388/I388*1000)</f>
        <v>0</v>
      </c>
      <c r="I388" s="750"/>
      <c r="J388" s="750"/>
      <c r="K388" s="750"/>
      <c r="L388" s="750"/>
      <c r="M388" s="751">
        <f>IF(L388=0,0,K388*L388/1000)</f>
        <v>0</v>
      </c>
      <c r="N388" s="750"/>
      <c r="O388" s="750"/>
      <c r="P388" s="751">
        <f>IF(O388=0,0,N388*O388/1000)</f>
        <v>0</v>
      </c>
      <c r="U388" s="638" t="str">
        <f>CONCATENATE(F384,"::",G384,"::",G385,"::",G386,"::",G387,"::",G388)</f>
        <v>::::::::::</v>
      </c>
    </row>
    <row r="390" spans="1:21" ht="12" customHeight="1">
      <c r="A390" s="648" t="s">
        <v>2211</v>
      </c>
      <c r="B390" s="648" t="s">
        <v>490</v>
      </c>
    </row>
    <row r="392" spans="1:21" ht="23.25" customHeight="1">
      <c r="E392" s="617" t="s">
        <v>517</v>
      </c>
      <c r="F392" s="1161"/>
      <c r="G392" s="697"/>
      <c r="H392" s="747"/>
      <c r="I392" s="747"/>
      <c r="J392" s="747"/>
      <c r="K392" s="747"/>
      <c r="L392" s="747"/>
      <c r="M392" s="747"/>
      <c r="N392" s="747"/>
      <c r="O392" s="747"/>
      <c r="P392" s="747"/>
    </row>
    <row r="393" spans="1:21" ht="23.25" customHeight="1">
      <c r="F393" s="1162"/>
      <c r="G393" s="697"/>
      <c r="H393" s="747"/>
      <c r="I393" s="747"/>
      <c r="J393" s="747"/>
      <c r="K393" s="747"/>
      <c r="L393" s="747"/>
      <c r="M393" s="747"/>
      <c r="N393" s="747"/>
      <c r="O393" s="747"/>
      <c r="P393" s="747"/>
    </row>
    <row r="394" spans="1:21" ht="23.25" customHeight="1">
      <c r="F394" s="1162"/>
      <c r="G394" s="697"/>
      <c r="H394" s="747"/>
      <c r="I394" s="747"/>
      <c r="J394" s="747"/>
      <c r="K394" s="747"/>
      <c r="L394" s="747"/>
      <c r="M394" s="747"/>
      <c r="N394" s="747"/>
      <c r="O394" s="747"/>
      <c r="P394" s="747"/>
    </row>
    <row r="395" spans="1:21" ht="23.25" customHeight="1">
      <c r="F395" s="1162"/>
      <c r="G395" s="697"/>
      <c r="H395" s="747"/>
      <c r="I395" s="747"/>
      <c r="J395" s="747"/>
      <c r="K395" s="747"/>
      <c r="L395" s="747"/>
      <c r="M395" s="747"/>
      <c r="N395" s="747"/>
      <c r="O395" s="747"/>
      <c r="P395" s="747"/>
    </row>
    <row r="396" spans="1:21" ht="23.25" customHeight="1">
      <c r="F396" s="1163"/>
      <c r="G396" s="697"/>
      <c r="H396" s="751">
        <f>IF(I396=0,0,J396/I396*1000)</f>
        <v>0</v>
      </c>
      <c r="I396" s="750"/>
      <c r="J396" s="750"/>
      <c r="K396" s="750"/>
      <c r="L396" s="750"/>
      <c r="M396" s="751">
        <f>IF(L396=0,0,K396*L396/1000)</f>
        <v>0</v>
      </c>
      <c r="N396" s="750"/>
      <c r="O396" s="750"/>
      <c r="P396" s="751">
        <f>IF(O396=0,0,N396*O396/1000)</f>
        <v>0</v>
      </c>
      <c r="U396" s="638" t="str">
        <f>CONCATENATE(F392,"::",G392,"::",G393,"::",G394,"::",G395,"::",G396)</f>
        <v>::::::::::</v>
      </c>
    </row>
    <row r="398" spans="1:21" ht="12" customHeight="1">
      <c r="A398" s="648" t="s">
        <v>2212</v>
      </c>
      <c r="B398" s="648" t="s">
        <v>490</v>
      </c>
    </row>
    <row r="400" spans="1:21" ht="23.25" customHeight="1">
      <c r="E400" s="617" t="s">
        <v>517</v>
      </c>
      <c r="F400" s="1161"/>
      <c r="G400" s="697"/>
      <c r="H400" s="747"/>
      <c r="I400" s="747"/>
      <c r="J400" s="747"/>
      <c r="K400" s="747"/>
      <c r="L400" s="747"/>
      <c r="M400" s="747"/>
      <c r="N400" s="747"/>
      <c r="O400" s="747"/>
      <c r="P400" s="747"/>
    </row>
    <row r="401" spans="1:21" ht="23.25" customHeight="1">
      <c r="F401" s="1162"/>
      <c r="G401" s="697"/>
      <c r="H401" s="747"/>
      <c r="I401" s="747"/>
      <c r="J401" s="747"/>
      <c r="K401" s="747"/>
      <c r="L401" s="747"/>
      <c r="M401" s="747"/>
      <c r="N401" s="747"/>
      <c r="O401" s="747"/>
      <c r="P401" s="747"/>
    </row>
    <row r="402" spans="1:21" ht="23.25" customHeight="1">
      <c r="F402" s="1163"/>
      <c r="G402" s="697"/>
      <c r="H402" s="751">
        <f>IF(I402=0,0,J402/I402*1000)</f>
        <v>0</v>
      </c>
      <c r="I402" s="750"/>
      <c r="J402" s="750"/>
      <c r="K402" s="750"/>
      <c r="L402" s="750"/>
      <c r="M402" s="751">
        <f>IF(L402=0,0,K402*L402/1000)</f>
        <v>0</v>
      </c>
      <c r="N402" s="750"/>
      <c r="O402" s="750"/>
      <c r="P402" s="751">
        <f>IF(O402=0,0,N402*O402/1000)</f>
        <v>0</v>
      </c>
      <c r="U402" s="638" t="str">
        <f>CONCATENATE(F400,"::",G400,"::",G401,"::",G402)</f>
        <v>::::::</v>
      </c>
    </row>
    <row r="404" spans="1:21" ht="12" customHeight="1">
      <c r="A404" s="648" t="s">
        <v>2213</v>
      </c>
      <c r="B404" s="648" t="s">
        <v>490</v>
      </c>
    </row>
    <row r="406" spans="1:21" ht="23.25" customHeight="1">
      <c r="E406" s="617" t="s">
        <v>517</v>
      </c>
      <c r="F406" s="1161"/>
      <c r="G406" s="697"/>
      <c r="H406" s="747"/>
      <c r="I406" s="747"/>
      <c r="J406" s="747"/>
      <c r="K406" s="747"/>
      <c r="L406" s="747"/>
      <c r="M406" s="747"/>
      <c r="N406" s="747"/>
      <c r="O406" s="747"/>
      <c r="P406" s="747"/>
    </row>
    <row r="407" spans="1:21" ht="23.25" customHeight="1">
      <c r="F407" s="1162"/>
      <c r="G407" s="697"/>
      <c r="H407" s="747"/>
      <c r="I407" s="747"/>
      <c r="J407" s="747"/>
      <c r="K407" s="747"/>
      <c r="L407" s="747"/>
      <c r="M407" s="747"/>
      <c r="N407" s="747"/>
      <c r="O407" s="747"/>
      <c r="P407" s="747"/>
    </row>
    <row r="408" spans="1:21" ht="23.25" customHeight="1">
      <c r="F408" s="1162"/>
      <c r="G408" s="697"/>
      <c r="H408" s="747"/>
      <c r="I408" s="747"/>
      <c r="J408" s="747"/>
      <c r="K408" s="747"/>
      <c r="L408" s="747"/>
      <c r="M408" s="747"/>
      <c r="N408" s="747"/>
      <c r="O408" s="747"/>
      <c r="P408" s="747"/>
    </row>
    <row r="409" spans="1:21" ht="23.25" customHeight="1">
      <c r="F409" s="1163"/>
      <c r="G409" s="697"/>
      <c r="H409" s="751">
        <f>IF(I409=0,0,J409/I409*1000)</f>
        <v>0</v>
      </c>
      <c r="I409" s="750"/>
      <c r="J409" s="750"/>
      <c r="K409" s="750"/>
      <c r="L409" s="750"/>
      <c r="M409" s="751">
        <f>IF(L409=0,0,K409*L409/1000)</f>
        <v>0</v>
      </c>
      <c r="N409" s="750"/>
      <c r="O409" s="750"/>
      <c r="P409" s="751">
        <f>IF(O409=0,0,N409*O409/1000)</f>
        <v>0</v>
      </c>
      <c r="U409" s="638" t="str">
        <f>CONCATENATE(F406,"::",G406,"::",G407,"::",G408,"::",G409)</f>
        <v>::::::::</v>
      </c>
    </row>
    <row r="411" spans="1:21" ht="12" customHeight="1">
      <c r="A411" s="648" t="s">
        <v>2214</v>
      </c>
      <c r="B411" s="648" t="s">
        <v>490</v>
      </c>
    </row>
    <row r="413" spans="1:21" ht="23.25" customHeight="1">
      <c r="E413" s="617" t="s">
        <v>517</v>
      </c>
      <c r="F413" s="1161"/>
      <c r="G413" s="697"/>
      <c r="H413" s="747"/>
      <c r="I413" s="747"/>
      <c r="J413" s="747"/>
      <c r="K413" s="747"/>
      <c r="L413" s="747"/>
      <c r="M413" s="747"/>
      <c r="N413" s="747"/>
      <c r="O413" s="747"/>
      <c r="P413" s="747"/>
    </row>
    <row r="414" spans="1:21" ht="23.25" customHeight="1">
      <c r="F414" s="1162"/>
      <c r="G414" s="697"/>
      <c r="H414" s="747"/>
      <c r="I414" s="747"/>
      <c r="J414" s="747"/>
      <c r="K414" s="747"/>
      <c r="L414" s="747"/>
      <c r="M414" s="747"/>
      <c r="N414" s="747"/>
      <c r="O414" s="747"/>
      <c r="P414" s="747"/>
    </row>
    <row r="415" spans="1:21" ht="23.25" customHeight="1">
      <c r="F415" s="1162"/>
      <c r="G415" s="697"/>
      <c r="H415" s="747"/>
      <c r="I415" s="747"/>
      <c r="J415" s="747"/>
      <c r="K415" s="747"/>
      <c r="L415" s="747"/>
      <c r="M415" s="747"/>
      <c r="N415" s="747"/>
      <c r="O415" s="747"/>
      <c r="P415" s="747"/>
    </row>
    <row r="416" spans="1:21" ht="23.25" customHeight="1">
      <c r="F416" s="1163"/>
      <c r="G416" s="697"/>
      <c r="H416" s="751">
        <f>IF(I416=0,0,J416/I416*1000)</f>
        <v>0</v>
      </c>
      <c r="I416" s="750"/>
      <c r="J416" s="750"/>
      <c r="K416" s="750"/>
      <c r="L416" s="750"/>
      <c r="M416" s="751">
        <f>IF(L416=0,0,K416*L416/1000)</f>
        <v>0</v>
      </c>
      <c r="N416" s="750"/>
      <c r="O416" s="750"/>
      <c r="P416" s="751">
        <f>IF(O416=0,0,N416*O416/1000)</f>
        <v>0</v>
      </c>
      <c r="U416" s="638" t="str">
        <f>CONCATENATE(F413,"::",G413,"::",G414,"::",G415,"::",G416)</f>
        <v>::::::::</v>
      </c>
    </row>
    <row r="418" spans="1:28" ht="12" customHeight="1">
      <c r="A418" s="648" t="s">
        <v>2215</v>
      </c>
      <c r="B418" s="648" t="s">
        <v>490</v>
      </c>
    </row>
    <row r="420" spans="1:28" ht="23.25" customHeight="1">
      <c r="E420" s="617" t="s">
        <v>517</v>
      </c>
      <c r="F420" s="1161"/>
      <c r="G420" s="697"/>
      <c r="H420" s="747"/>
      <c r="I420" s="747"/>
      <c r="J420" s="747"/>
      <c r="K420" s="747"/>
      <c r="L420" s="747"/>
      <c r="M420" s="747"/>
      <c r="N420" s="747"/>
      <c r="O420" s="747"/>
      <c r="P420" s="747"/>
    </row>
    <row r="421" spans="1:28" ht="23.25" customHeight="1">
      <c r="F421" s="1162"/>
      <c r="G421" s="697"/>
      <c r="H421" s="747"/>
      <c r="I421" s="747"/>
      <c r="J421" s="747"/>
      <c r="K421" s="747"/>
      <c r="L421" s="747"/>
      <c r="M421" s="747"/>
      <c r="N421" s="747"/>
      <c r="O421" s="747"/>
      <c r="P421" s="747"/>
    </row>
    <row r="422" spans="1:28" ht="23.25" customHeight="1">
      <c r="F422" s="1162"/>
      <c r="G422" s="697"/>
      <c r="H422" s="747"/>
      <c r="I422" s="747"/>
      <c r="J422" s="747"/>
      <c r="K422" s="747"/>
      <c r="L422" s="747"/>
      <c r="M422" s="747"/>
      <c r="N422" s="747"/>
      <c r="O422" s="747"/>
      <c r="P422" s="747"/>
    </row>
    <row r="423" spans="1:28" ht="23.25" customHeight="1">
      <c r="F423" s="1163"/>
      <c r="G423" s="697"/>
      <c r="H423" s="751">
        <f>IF(I423=0,0,J423/I423*1000)</f>
        <v>0</v>
      </c>
      <c r="I423" s="750"/>
      <c r="J423" s="750"/>
      <c r="K423" s="750"/>
      <c r="L423" s="750"/>
      <c r="M423" s="751">
        <f>IF(L423=0,0,K423*L423/1000)</f>
        <v>0</v>
      </c>
      <c r="N423" s="750"/>
      <c r="O423" s="750"/>
      <c r="P423" s="751">
        <f>IF(O423=0,0,N423*O423/1000)</f>
        <v>0</v>
      </c>
      <c r="U423" s="638" t="str">
        <f>CONCATENATE(F420,"::",G420,"::",G421,"::",G422,"::",G423)</f>
        <v>::::::::</v>
      </c>
    </row>
    <row r="427" spans="1:28" ht="11.25" customHeight="1">
      <c r="A427" s="669" t="s">
        <v>2216</v>
      </c>
      <c r="B427" s="669" t="s">
        <v>2167</v>
      </c>
      <c r="C427" s="670" t="s">
        <v>2159</v>
      </c>
    </row>
    <row r="428" spans="1:28" ht="18.75" customHeight="1">
      <c r="F428" s="617" t="s">
        <v>517</v>
      </c>
      <c r="G428" s="83"/>
      <c r="H428" s="752"/>
      <c r="I428" s="699"/>
      <c r="J428" s="697"/>
      <c r="K428" s="697"/>
      <c r="L428" s="75"/>
      <c r="M428" s="464"/>
      <c r="N428" s="177"/>
      <c r="O428" s="75"/>
      <c r="P428" s="464"/>
      <c r="R428" s="467"/>
      <c r="T428" s="467"/>
    </row>
    <row r="430" spans="1:28" ht="12" customHeight="1">
      <c r="A430" s="648" t="s">
        <v>2217</v>
      </c>
      <c r="B430" s="648" t="s">
        <v>470</v>
      </c>
    </row>
    <row r="432" spans="1:28" ht="18" customHeight="1">
      <c r="A432" s="501"/>
      <c r="C432" s="16"/>
      <c r="D432" s="16"/>
      <c r="E432" s="617" t="s">
        <v>517</v>
      </c>
      <c r="F432" s="1170"/>
      <c r="G432" s="753"/>
      <c r="H432" s="81"/>
      <c r="I432" s="115"/>
      <c r="J432" s="688"/>
      <c r="K432" s="115"/>
      <c r="L432" s="115"/>
      <c r="M432" s="688"/>
      <c r="N432" s="115"/>
      <c r="O432" s="115"/>
      <c r="P432" s="688"/>
      <c r="Q432" s="115"/>
      <c r="R432" s="115"/>
      <c r="S432" s="688"/>
      <c r="T432" s="115"/>
      <c r="U432" s="688"/>
      <c r="V432" s="532"/>
      <c r="W432" s="688"/>
      <c r="X432" s="532"/>
      <c r="Z432" s="405"/>
      <c r="AB432" s="754"/>
    </row>
    <row r="433" spans="1:28" ht="18" customHeight="1">
      <c r="A433" s="501"/>
      <c r="C433" s="16"/>
      <c r="D433" s="16"/>
      <c r="E433" s="17"/>
      <c r="F433" s="1171"/>
      <c r="G433" s="456" t="s">
        <v>2011</v>
      </c>
      <c r="H433" s="136" t="s">
        <v>633</v>
      </c>
      <c r="I433" s="694"/>
      <c r="J433" s="688"/>
      <c r="K433" s="500"/>
      <c r="L433" s="89"/>
      <c r="M433" s="688"/>
      <c r="N433" s="89"/>
      <c r="O433" s="89"/>
      <c r="P433" s="688"/>
      <c r="Q433" s="89"/>
      <c r="R433" s="101"/>
      <c r="S433" s="688"/>
      <c r="T433" s="101"/>
      <c r="U433" s="688"/>
      <c r="V433" s="460"/>
      <c r="W433" s="688"/>
      <c r="X433" s="460"/>
      <c r="Z433" s="457"/>
      <c r="AB433" s="754"/>
    </row>
    <row r="434" spans="1:28" ht="18" customHeight="1">
      <c r="A434" s="501"/>
      <c r="C434" s="16"/>
      <c r="D434" s="16"/>
      <c r="E434" s="17"/>
      <c r="F434" s="1172"/>
      <c r="G434" s="463" t="s">
        <v>2012</v>
      </c>
      <c r="H434" s="461" t="s">
        <v>2010</v>
      </c>
      <c r="I434" s="755">
        <f>IFERROR(I$24*I433/100,0)</f>
        <v>0</v>
      </c>
      <c r="J434" s="688"/>
      <c r="K434" s="756">
        <f>IFERROR(K$24*K433/100,0)</f>
        <v>0</v>
      </c>
      <c r="L434" s="757">
        <f>IFERROR(L$24*L433/100,0)</f>
        <v>0</v>
      </c>
      <c r="M434" s="688"/>
      <c r="N434" s="757">
        <f>IFERROR(N$24*N433/100,0)</f>
        <v>0</v>
      </c>
      <c r="O434" s="757">
        <f>IFERROR(O$24*O433/100,0)</f>
        <v>0</v>
      </c>
      <c r="P434" s="688"/>
      <c r="Q434" s="757">
        <f>IFERROR(Q$24*Q433/100,0)</f>
        <v>0</v>
      </c>
      <c r="R434" s="117"/>
      <c r="S434" s="688"/>
      <c r="T434" s="117"/>
      <c r="U434" s="688"/>
      <c r="V434" s="758">
        <f>IFERROR(V$24*V433/100,0)</f>
        <v>0</v>
      </c>
      <c r="W434" s="688"/>
      <c r="X434" s="758">
        <f>IFERROR(X$24*X433/100,0)</f>
        <v>0</v>
      </c>
      <c r="Y434" s="502" t="s">
        <v>2013</v>
      </c>
      <c r="Z434" s="158"/>
      <c r="AB434" s="396"/>
    </row>
  </sheetData>
  <sheetProtection formatColumns="0" formatRows="0" insertRows="0" deleteColumns="0" deleteRows="0" sort="0" autoFilter="0"/>
  <mergeCells count="59">
    <mergeCell ref="M117:M125"/>
    <mergeCell ref="M134:M152"/>
    <mergeCell ref="G268:G270"/>
    <mergeCell ref="G273:G275"/>
    <mergeCell ref="M196:M197"/>
    <mergeCell ref="E106:E109"/>
    <mergeCell ref="L250:L251"/>
    <mergeCell ref="G263:G265"/>
    <mergeCell ref="F196:F197"/>
    <mergeCell ref="G196:G197"/>
    <mergeCell ref="H196:H197"/>
    <mergeCell ref="I196:I197"/>
    <mergeCell ref="E158:E178"/>
    <mergeCell ref="E218:E222"/>
    <mergeCell ref="D17:D33"/>
    <mergeCell ref="G17:G33"/>
    <mergeCell ref="H17:H33"/>
    <mergeCell ref="P196:P197"/>
    <mergeCell ref="P107:S107"/>
    <mergeCell ref="P109:S109"/>
    <mergeCell ref="F40:F78"/>
    <mergeCell ref="G40:G78"/>
    <mergeCell ref="H40:H78"/>
    <mergeCell ref="I40:I78"/>
    <mergeCell ref="J40:J42"/>
    <mergeCell ref="J43:J45"/>
    <mergeCell ref="J46:J48"/>
    <mergeCell ref="J49:J51"/>
    <mergeCell ref="J52:J54"/>
    <mergeCell ref="J55:J57"/>
    <mergeCell ref="F432:F434"/>
    <mergeCell ref="L117:L125"/>
    <mergeCell ref="L134:L152"/>
    <mergeCell ref="J64:J66"/>
    <mergeCell ref="J67:J69"/>
    <mergeCell ref="J70:J72"/>
    <mergeCell ref="J73:J75"/>
    <mergeCell ref="F336:F340"/>
    <mergeCell ref="F344:F348"/>
    <mergeCell ref="F352:F354"/>
    <mergeCell ref="F358:F361"/>
    <mergeCell ref="F365:F368"/>
    <mergeCell ref="F406:F409"/>
    <mergeCell ref="F413:F416"/>
    <mergeCell ref="F420:F423"/>
    <mergeCell ref="F372:F375"/>
    <mergeCell ref="F379:F380"/>
    <mergeCell ref="F384:F388"/>
    <mergeCell ref="F392:F396"/>
    <mergeCell ref="F400:F402"/>
    <mergeCell ref="J58:J60"/>
    <mergeCell ref="J61:J63"/>
    <mergeCell ref="G106:G109"/>
    <mergeCell ref="H106:H109"/>
    <mergeCell ref="I106:I109"/>
    <mergeCell ref="J106:J109"/>
    <mergeCell ref="G300:G302"/>
    <mergeCell ref="G305:G307"/>
    <mergeCell ref="G310:G312"/>
  </mergeCells>
  <dataValidations count="55">
    <dataValidation type="list" allowBlank="1" showInputMessage="1" showErrorMessage="1" sqref="AH235 AU235" xr:uid="{00000000-0002-0000-3800-000000000000}">
      <formula1>GROUP_AMORT</formula1>
    </dataValidation>
    <dataValidation type="list" allowBlank="1" showInputMessage="1" showErrorMessage="1" sqref="T235" xr:uid="{00000000-0002-0000-3800-000001000000}">
      <formula1>TYPE_RENT_DOG</formula1>
    </dataValidation>
    <dataValidation type="decimal" allowBlank="1" showErrorMessage="1" errorTitle="Ошибка" error="Значение должно быть от 0 до 1" sqref="AS188 Y188 AA188 AD188 AF188 AI188 AM188 AP188 AK188" xr:uid="{00000000-0002-0000-3800-000002000000}">
      <formula1>0</formula1>
      <formula2>1</formula2>
    </dataValidation>
    <dataValidation type="decimal" allowBlank="1" showErrorMessage="1" errorTitle="Ошибка" error="Допускается ввод чисел от 0 до 1" sqref="T188 Q188 V188" xr:uid="{00000000-0002-0000-3800-000003000000}">
      <formula1>0</formula1>
      <formula2>1</formula2>
    </dataValidation>
    <dataValidation type="whole" allowBlank="1" showErrorMessage="1" errorTitle="Ошибка" error="Допускается ввод только неотрицательных целых чисел!" sqref="S316 S320" xr:uid="{00000000-0002-0000-38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H239" xr:uid="{00000000-0002-0000-3800-000005000000}">
      <formula1>TYPE_DOC_RENT</formula1>
    </dataValidation>
    <dataValidation type="list" allowBlank="1" showInputMessage="1" showErrorMessage="1" errorTitle="Ошибка" error="Допускается ввод не более 900 символов!" sqref="H246" xr:uid="{00000000-0002-0000-3800-000006000000}">
      <formula1>BACE</formula1>
    </dataValidation>
    <dataValidation type="list" allowBlank="1" showInputMessage="1" showErrorMessage="1" sqref="R246" xr:uid="{00000000-0002-0000-3800-000007000000}">
      <formula1>LIST_SOB</formula1>
    </dataValidation>
    <dataValidation type="decimal" allowBlank="1" showInputMessage="1" showErrorMessage="1" errorTitle="Внимание" error="Допускается ввод только действительных чисел!" sqref="JU205:KF205 TQ205:UB205 ADM205:ADX205 ANI205:ANT205 AXE205:AXP205 BHA205:BHL205 BQW205:BRH205 CAS205:CBD205 CKO205:CKZ205 CUK205:CUV205 DEG205:DER205 DOC205:DON205 DXY205:DYJ205 EHU205:EIF205 ERQ205:ESB205 FBM205:FBX205 FLI205:FLT205 FVE205:FVP205 GFA205:GFL205 GOW205:GPH205 GYS205:GZD205 HIO205:HIZ205 HSK205:HSV205 ICG205:ICR205 IMC205:IMN205 IVY205:IWJ205 JFU205:JGF205 JPQ205:JQB205 JZM205:JZX205 KJI205:KJT205 KTE205:KTP205 LDA205:LDL205 LMW205:LNH205 LWS205:LXD205 MGO205:MGZ205 MQK205:MQV205 NAG205:NAR205 NKC205:NKN205 NTY205:NUJ205 ODU205:OEF205 ONQ205:OOB205 OXM205:OXX205 PHI205:PHT205 PRE205:PRP205 QBA205:QBL205 QKW205:QLH205 QUS205:QVD205 REO205:REZ205 ROK205:ROV205 RYG205:RYR205 SIC205:SIN205 SRY205:SSJ205 TBU205:TCF205 TLQ205:TMB205 TVM205:TVX205 UFI205:UFT205 UPE205:UPP205 UZA205:UZL205 VIW205:VJH205 VSS205:VTD205 WCO205:WCZ205 WMK205:WMV205 WWG205:WWR205 WVS205:WWD205 WLW205:WMH205 JG205:JR205 TC205:TN205 ACY205:ADJ205 AMU205:ANF205 AWQ205:AXB205 BGM205:BGX205 BQI205:BQT205 CAE205:CAP205 CKA205:CKL205 CTW205:CUH205 DDS205:DED205 DNO205:DNZ205 DXK205:DXV205 EHG205:EHR205 ERC205:ERN205 FAY205:FBJ205 FKU205:FLF205 FUQ205:FVB205 GEM205:GEX205 GOI205:GOT205 GYE205:GYP205 HIA205:HIL205 HRW205:HSH205 IBS205:ICD205 ILO205:ILZ205 IVK205:IVV205 JFG205:JFR205 JPC205:JPN205 JYY205:JZJ205 KIU205:KJF205 KSQ205:KTB205 LCM205:LCX205 LMI205:LMT205 LWE205:LWP205 MGA205:MGL205 MPW205:MQH205 MZS205:NAD205 NJO205:NJZ205 NTK205:NTV205 ODG205:ODR205 ONC205:ONN205 OWY205:OXJ205 PGU205:PHF205 PQQ205:PRB205 QAM205:QAX205 QKI205:QKT205 QUE205:QUP205 REA205:REL205 RNW205:ROH205 RXS205:RYD205 SHO205:SHZ205 SRK205:SRV205 TBG205:TBR205 TLC205:TLN205 TUY205:TVJ205 UEU205:UFF205 UOQ205:UPB205 UYM205:UYX205 VII205:VIT205 VSE205:VSP205 WCA205:WCL205" xr:uid="{00000000-0002-0000-3800-000008000000}">
      <formula1>-9.99999999999999E+23</formula1>
      <formula2>9.99999999999999E+23</formula2>
    </dataValidation>
    <dataValidation type="decimal" allowBlank="1" showInputMessage="1" showErrorMessage="1" sqref="WLV205 JS205:JT205 TO205:TP205 ADK205:ADL205 ANG205:ANH205 AXC205:AXD205 BGY205:BGZ205 BQU205:BQV205 CAQ205:CAR205 CKM205:CKN205 CUI205:CUJ205 DEE205:DEF205 DOA205:DOB205 DXW205:DXX205 EHS205:EHT205 ERO205:ERP205 FBK205:FBL205 FLG205:FLH205 FVC205:FVD205 GEY205:GEZ205 GOU205:GOV205 GYQ205:GYR205 HIM205:HIN205 HSI205:HSJ205 ICE205:ICF205 IMA205:IMB205 IVW205:IVX205 JFS205:JFT205 JPO205:JPP205 JZK205:JZL205 KJG205:KJH205 KTC205:KTD205 LCY205:LCZ205 LMU205:LMV205 LWQ205:LWR205 MGM205:MGN205 MQI205:MQJ205 NAE205:NAF205 NKA205:NKB205 NTW205:NTX205 ODS205:ODT205 ONO205:ONP205 OXK205:OXL205 PHG205:PHH205 PRC205:PRD205 QAY205:QAZ205 QKU205:QKV205 QUQ205:QUR205 REM205:REN205 ROI205:ROJ205 RYE205:RYF205 SIA205:SIB205 SRW205:SRX205 TBS205:TBT205 TLO205:TLP205 TVK205:TVL205 UFG205:UFH205 UPC205:UPD205 UYY205:UYZ205 VIU205:VIV205 VSQ205:VSR205 WCM205:WCN205 WMI205:WMJ205 WWE205:WWF205 KG205:KK205 UC205:UG205 ADY205:AEC205 ANU205:ANY205 AXQ205:AXU205 BHM205:BHQ205 BRI205:BRM205 CBE205:CBI205 CLA205:CLE205 CUW205:CVA205 DES205:DEW205 DOO205:DOS205 DYK205:DYO205 EIG205:EIK205 ESC205:ESG205 FBY205:FCC205 FLU205:FLY205 FVQ205:FVU205 GFM205:GFQ205 GPI205:GPM205 GZE205:GZI205 HJA205:HJE205 HSW205:HTA205 ICS205:ICW205 IMO205:IMS205 IWK205:IWO205 JGG205:JGK205 JQC205:JQG205 JZY205:KAC205 KJU205:KJY205 KTQ205:KTU205 LDM205:LDQ205 LNI205:LNM205 LXE205:LXI205 MHA205:MHE205 MQW205:MRA205 NAS205:NAW205 NKO205:NKS205 NUK205:NUO205 OEG205:OEK205 OOC205:OOG205 OXY205:OYC205 PHU205:PHY205 PRQ205:PRU205 QBM205:QBQ205 QLI205:QLM205 QVE205:QVI205 RFA205:RFE205 ROW205:RPA205 RYS205:RYW205 SIO205:SIS205 SSK205:SSO205 TCG205:TCK205 TMC205:TMG205 TVY205:TWC205 UFU205:UFY205 UPQ205:UPU205 UZM205:UZQ205 VJI205:VJM205 VTE205:VTI205 WDA205:WDE205 WMW205:WNA205 WWS205:WWW205 WVR205 JF205 TB205 ACX205 AMT205 AWP205 BGL205 BQH205 CAD205 CJZ205 CTV205 DDR205 DNN205 DXJ205 EHF205 ERB205 FAX205 FKT205 FUP205 GEL205 GOH205 GYD205 HHZ205 HRV205 IBR205 ILN205 IVJ205 JFF205 JPB205 JYX205 KIT205 KSP205 LCL205 LMH205 LWD205 MFZ205 MPV205 MZR205 NJN205 NTJ205 ODF205 ONB205 OWX205 PGT205 PQP205 QAL205 QKH205 QUD205 RDZ205 RNV205 RXR205 SHN205 SRJ205 TBF205 TLB205 TUX205 UET205 UOP205 UYL205 VIH205 VSD205 WBZ205" xr:uid="{00000000-0002-0000-3800-000009000000}">
      <formula1>-1000000000000000</formula1>
      <formula2>1000000000000000</formula2>
    </dataValidation>
    <dataValidation type="list" allowBlank="1" showInputMessage="1" showErrorMessage="1" sqref="P117 P134 M246" xr:uid="{00000000-0002-0000-3800-00000A000000}">
      <formula1>LEVEL_VOLTAGE</formula1>
    </dataValidation>
    <dataValidation type="list" allowBlank="1" showInputMessage="1" showErrorMessage="1" sqref="L246" xr:uid="{00000000-0002-0000-3800-00000B000000}">
      <formula1>TYPE_OBJECT</formula1>
    </dataValidation>
    <dataValidation type="list" allowBlank="1" showInputMessage="1" showErrorMessage="1" sqref="T239 V7 S235 T243" xr:uid="{00000000-0002-0000-3800-00000C000000}">
      <formula1>STATUS_CONTRACT_REESTR</formula1>
    </dataValidation>
    <dataValidation type="list" allowBlank="1" showInputMessage="1" showErrorMessage="1" sqref="V36" xr:uid="{00000000-0002-0000-3800-00000D000000}">
      <formula1>MONTH_LIST</formula1>
    </dataValidation>
    <dataValidation type="list" allowBlank="1" showInputMessage="1" showErrorMessage="1" sqref="T246 I7" xr:uid="{00000000-0002-0000-3800-00000E000000}">
      <formula1>logic</formula1>
    </dataValidation>
    <dataValidation type="list" allowBlank="1" showInputMessage="1" showErrorMessage="1" sqref="G235 G7" xr:uid="{00000000-0002-0000-3800-00000F000000}">
      <formula1>TYPE_DOC_RENT</formula1>
    </dataValidation>
    <dataValidation type="date" allowBlank="1" showInputMessage="1" showErrorMessage="1" error="Допускается только ввод даты в формате &quot;ДД.ММ.ГГГГ&quot;." sqref="I101" xr:uid="{00000000-0002-0000-3800-000010000000}">
      <formula1>1</formula1>
      <formula2>51136</formula2>
    </dataValidation>
    <dataValidation type="decimal" allowBlank="1" showErrorMessage="1" errorTitle="Ошибка" error="Допускается ввод только действительных чисел!" sqref="KSY428:KSZ428 VSM428:VSN428 REI428:REJ428 PQY428:PQZ428 QAU428:QAV428 ICA428:ICB428 ONK428:ONL428 RED428 SHR428 JFO428:JFP428 DNW428:DNX428 UOY428:UOZ428 WME428:WMF428 QUH428 QKQ428:QKR428 QUM428:QUN428 ILW428:ILX428 IVS428:IVT428 QKL428 AWY428:AWZ428 BGU428:BGV428 BQQ428:BQR428 CAM428:CAN428 OXG428:OXH428 PQT428 GOQ428:GOR428 WVV428 WWA428:WWB428 UFC428:UFD428 FUY428:FUZ428 TVB428 UEX428 UOT428 UYP428 FLC428:FLD428 FBG428:FBH428 VIL428 VSH428 WCD428 WLZ428 RNZ428 QAP428 ADG428:ADH428 ANC428:AND428 ROE428:ROF428 SHW428:SHX428 PHC428:PHD428 SRN428 HSE428:HSF428 TLK428:TLL428 VIQ428:VIR428 UYU428:UYV428 GEU428:GEV428 TBO428:TBP428 GYM428:GYN428 HII428:HIJ428 JZG428:JZH428 JPK428:JPL428 CKI428:CKJ428 WCI428:WCJ428 KJC428:KJD428 RXV428 ODO428:ODP428 NTS428:NTT428 NJW428:NJX428 NAA428:NAB428 MQE428:MQF428 MGI428:MGJ428 LWM428:LWN428 LMQ428:LMR428 LCU428:LCV428 RYA428:RYB428 SRS428:SRT428 JO428:JP428 TK428:TL428 TVG428:TVH428 ERK428:ERL428 EHO428:EHP428 DXS428:DXT428 DEA428:DEB428 CUE428:CUF428 TBJ428 JL428 TH428 ADD428 AMZ428 AWV428 BGR428 BQN428 CAJ428 CKF428 CUB428 DDX428 DNT428 DXP428 EHL428 ERH428 FBD428 FKZ428 FUV428 GER428 GON428 GYJ428 HIF428 HSB428 IBX428 ILT428 IVP428 JFL428 JPH428 JZD428 KIZ428 KSV428 LCR428 LMN428 LWJ428 MGF428 MQB428 MZX428 NJT428 NTP428 ODL428 ONH428 OXD428 PGZ428 PQV428 QAR428 QKN428 QUJ428 REF428 ROB428 RXX428 SHT428 SRP428 TBL428 TLH428 TVD428 UEZ428 UOV428 UYR428 VIN428 VSJ428 WCF428 WMB428 WVX428 TLF428 JJ428 TF428 ADB428 AMX428 AWT428 BGP428 BQL428 CAH428 CKD428 CTZ428 DDV428 DNR428 DXN428 EHJ428 ERF428 FBB428 FKX428 FUT428 GEP428 GOL428 GYH428 HID428 HRZ428 IBV428 ILR428 IVN428 JFJ428 JPF428 JZB428 KIX428 KST428 LCP428 LML428 LWH428 MGD428 MPZ428 MZV428 NJR428 NTN428 ODJ428 ONF428 OXB428 PGX428" xr:uid="{00000000-0002-0000-3800-00001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VR428:WVU428 MZR428:MZU428 MPV428:MPY428 MFZ428:MGC428 LMH428:LMK428 WBZ428:WCC428 WLV428:WLY428 TLB428:TLE428 DNN428:DNQ428 GEL428:GEO428 GOH428:GOK428 CJZ428:CKC428 CTV428:CTY428 JF428:JI428 UYL428:UYO428 RXR428:RXU428 SHN428:SHQ428 HRV428:HRY428 TBF428:TBI428 SRJ428:SRM428 LCL428:LCO428 HHZ428:HIC428 JYX428:JZA428 NTJ428:NTM428 LWD428:LWG428 NJN428:NJQ428 ODF428:ODI428 EHF428:EHI428 FKT428:FKW428 UET428:UEW428 IBR428:IBU428 IVJ428:IVM428 KIT428:KIW428 JFF428:JFI428 ILN428:ILQ428 RNV428:RNY428 KSP428:KSS428 JPB428:JPE428 AMT428:AMW428 BQH428:BQK428 BGL428:BGO428 AWP428:AWS428 CAD428:CAG428 VIH428:VIK428 DDR428:DDU428 QKH428:QKK428 VSD428:VSG428 UOP428:UOS428 TUX428:TVA428 ONB428:ONE428 PGT428:PGW428 OWX428:OXA428 TB428:TE428 FAX428:FBA428 DXJ428:DXM428 GYD428:GYG428 RDZ428:REC428 QUD428:QUG428 PQP428:PQS428 QAL428:QAO428 FUP428:FUS428 ERB428:ERE428 ACX428:ADA428" xr:uid="{00000000-0002-0000-3800-000012000000}">
      <formula1>900</formula1>
    </dataValidation>
    <dataValidation type="decimal" allowBlank="1" showErrorMessage="1" errorTitle="Ошибка" error="Допускается ввод только неотрицательных чисел!" sqref="AC246 M162:M163 AC125:AH125 W124:AB124 AC122:AH122 AN121:AN122 W121:AB121 AE168:AE169 AC149:AH149 AC152:AH152 W139:AB139 AN148:AN149 W148:AB148 W142:AB142 AC140:AH140 W151:AB151 AC143:AH143 AN139:AN140 N250 V239 I340:L340 I348:L348 N348:O348 I354:L354 N354:O354 I361:L361 N361:O361 I368:L368 N368:O368 I375:L375 N375:O375 I380:L380 N380:O380 I388:L388 N388:O388 N396:O396 I396:L396 N402:O402 I402:L402 N409:O409 I409:L409 N416:O416 I416:L416 N423:O423 I423:L423 N340:O340 AE165:AE166 M171:M172 AE174:AE175 AE177:AE178 O213 O219:O222 Q213:R213 Q219:R222 T213:W213 T219:W222 AB213 Y213:Z213 Y219:Z222 AB219:AB222 U124:U125 S124:S125 S121:S122 U121:U122 U139:U140 U151:U152 U142:U143 S142:S143 S151:S152 S139:S140 S148:S149 U148:U149 AK139:AK140 AK121:AK122 AI124:AI125 AI121:AI122 AI142:AI143 AI139:AI140 AI148:AI152 AL136:AL137 AN124:AN125 AN151:AN152 AN142:AN143 AN145:AN146 AL145:AL146 AK142:AL143 AK148:AL152 AK124:AL125 AL118:AL119 L165:L166 J168:J169 J165:J166 J177:J178 J174:J175 L174:L175 P174:P175 P165:P166 N165:N166 N174:N175 L177:N178 L168:N169 Q171:Q172 P177:Q178 P168:Q169 Q162:Q163 S165:T166 S174:T175 S168:T169 S177:T178 S171:T172 V177:W178 V168:W169 V174:W175 V165:W166 V171:W172 AB177:AB178 AB168:AB169 AB174:AB175 AB165:AB166 Y165:Z166 Y174:Z175 Y168:Z169 Y177:Z178 Y171:Z172 AC173:AC178 AE171:AE172 AB171:AC172 AC158:AC170 V243" xr:uid="{00000000-0002-0000-3800-000013000000}">
      <formula1>0</formula1>
      <formula2>9.99999999999999E+23</formula2>
    </dataValidation>
    <dataValidation type="date" allowBlank="1" showInputMessage="1" showErrorMessage="1" errorTitle="Ошибка" error="Допускается только ввод даты в формате &quot;ДД.ММ.ГГГГ&quot;." sqref="J239 L7 J243" xr:uid="{00000000-0002-0000-3800-000014000000}">
      <formula1>18264</formula1>
      <formula2>73051</formula2>
    </dataValidation>
    <dataValidation type="list" errorStyle="information" allowBlank="1" showInputMessage="1" sqref="M316 M320" xr:uid="{00000000-0002-0000-3800-000015000000}">
      <formula1>INSTALL_METHOD</formula1>
    </dataValidation>
    <dataValidation type="list" allowBlank="1" showInputMessage="1" showErrorMessage="1" sqref="V316 V320" xr:uid="{00000000-0002-0000-3800-000016000000}">
      <formula1>SOURCE_DEVICE</formula1>
    </dataValidation>
    <dataValidation type="list" allowBlank="1" showInputMessage="1" showErrorMessage="1" sqref="O316 O320" xr:uid="{00000000-0002-0000-3800-000017000000}">
      <formula1>TYPE_DEVICE</formula1>
    </dataValidation>
    <dataValidation type="list" allowBlank="1" showInputMessage="1" showErrorMessage="1" sqref="N316 N320" xr:uid="{00000000-0002-0000-3800-000018000000}">
      <formula1>BASIS_INSTALL</formula1>
    </dataValidation>
    <dataValidation type="list" allowBlank="1" showInputMessage="1" showErrorMessage="1" sqref="J316 J320" xr:uid="{00000000-0002-0000-3800-000019000000}">
      <formula1>TYPE_CUSTOMERS</formula1>
    </dataValidation>
    <dataValidation type="list" allowBlank="1" showInputMessage="1" showErrorMessage="1" errorTitle="Ошибка" sqref="N213 J226 K230 N218 U235 P239 P243" xr:uid="{00000000-0002-0000-3800-00001A000000}">
      <formula1>doc_list</formula1>
    </dataValidation>
    <dataValidation type="list" allowBlank="1" showInputMessage="1" showErrorMessage="1" errorTitle="Ошибка" error="Выберите значение из списка" prompt="Выберите значение из списка" sqref="I332" xr:uid="{00000000-0002-0000-3800-00001B000000}">
      <formula1>doc_list</formula1>
    </dataValidation>
    <dataValidation type="list" allowBlank="1" showInputMessage="1" showErrorMessage="1" errorTitle="Ошибка" error="Допускается ввод не более 900 символов!" sqref="G340 G388" xr:uid="{00000000-0002-0000-3800-00001C000000}">
      <formula1>KOL_CEPEY</formula1>
    </dataValidation>
    <dataValidation type="list" allowBlank="1" showInputMessage="1" showErrorMessage="1" errorTitle="Ошибка" error="Допускается ввод не более 900 символов!" sqref="G339 G387" xr:uid="{00000000-0002-0000-3800-00001D000000}">
      <formula1>SECHENIE_PROVOD</formula1>
    </dataValidation>
    <dataValidation type="list" allowBlank="1" showInputMessage="1" showErrorMessage="1" errorTitle="Ошибка" error="Допускается ввод не более 900 символов!" sqref="G338 G386" xr:uid="{00000000-0002-0000-3800-00001E000000}">
      <formula1>PROVOD</formula1>
    </dataValidation>
    <dataValidation type="list" allowBlank="1" showInputMessage="1" showErrorMessage="1" errorTitle="Ошибка" error="Допускается ввод не более 900 символов!" sqref="G337 G385" xr:uid="{00000000-0002-0000-3800-00001F000000}">
      <formula1>TYPE_PROVODA</formula1>
    </dataValidation>
    <dataValidation type="list" allowBlank="1" showInputMessage="1" showErrorMessage="1" errorTitle="Ошибка" error="Допускается ввод не более 900 символов!" sqref="G336 G384" xr:uid="{00000000-0002-0000-3800-000020000000}">
      <formula1>TYPE_OPOR</formula1>
    </dataValidation>
    <dataValidation type="list" allowBlank="1" showInputMessage="1" showErrorMessage="1" errorTitle="Ошибка" error="Допускается ввод не более 900 символов!" sqref="G348 G396" xr:uid="{00000000-0002-0000-3800-000021000000}">
      <formula1>KOL_KAB</formula1>
    </dataValidation>
    <dataValidation type="list" allowBlank="1" showInputMessage="1" showErrorMessage="1" errorTitle="Ошибка" error="Допускается ввод не более 900 символов!" sqref="G347 G395" xr:uid="{00000000-0002-0000-3800-000022000000}">
      <formula1>SECHENIE_PROVOD_KL</formula1>
    </dataValidation>
    <dataValidation type="list" allowBlank="1" showInputMessage="1" showErrorMessage="1" errorTitle="Ошибка" error="Допускается ввод не более 900 символов!" sqref="G346 G394" xr:uid="{00000000-0002-0000-3800-000023000000}">
      <formula1>TYPE_IZOL</formula1>
    </dataValidation>
    <dataValidation type="list" allowBlank="1" showInputMessage="1" showErrorMessage="1" errorTitle="Ошибка" error="Допускается ввод не более 900 символов!" sqref="G345 G393" xr:uid="{00000000-0002-0000-3800-000024000000}">
      <formula1>TYPE_PROVOD_KL</formula1>
    </dataValidation>
    <dataValidation type="list" allowBlank="1" showInputMessage="1" showErrorMessage="1" errorTitle="Ошибка" error="Допускается ввод не более 900 символов!" sqref="G344 G392" xr:uid="{00000000-0002-0000-3800-000025000000}">
      <formula1>SPOSOB_PROKLADKI</formula1>
    </dataValidation>
    <dataValidation type="list" allowBlank="1" showInputMessage="1" showErrorMessage="1" errorTitle="Ошибка" error="Допускается ввод не более 900 символов!" sqref="G354 G402" xr:uid="{00000000-0002-0000-3800-000026000000}">
      <formula1>KOL_YACHEEK</formula1>
    </dataValidation>
    <dataValidation type="list" allowBlank="1" showInputMessage="1" showErrorMessage="1" errorTitle="Ошибка" error="Допускается ввод не более 900 символов!" sqref="G353 G401" xr:uid="{00000000-0002-0000-3800-000027000000}">
      <formula1>TOK</formula1>
    </dataValidation>
    <dataValidation type="list" allowBlank="1" showInputMessage="1" showErrorMessage="1" errorTitle="Ошибка" error="Допускается ввод не более 900 символов!" sqref="G352 G400" xr:uid="{00000000-0002-0000-3800-000028000000}">
      <formula1>TYPE_OBOR</formula1>
    </dataValidation>
    <dataValidation type="list" allowBlank="1" showInputMessage="1" showErrorMessage="1" errorTitle="Ошибка" error="Допускается ввод не более 900 символов!" sqref="G361 G409" xr:uid="{00000000-0002-0000-3800-000029000000}">
      <formula1>TYPE_С6</formula1>
    </dataValidation>
    <dataValidation type="list" allowBlank="1" showInputMessage="1" showErrorMessage="1" errorTitle="Ошибка" error="Допускается ввод не более 900 символов!" sqref="G360 G408" xr:uid="{00000000-0002-0000-3800-00002A000000}">
      <formula1>tr_power_С6</formula1>
    </dataValidation>
    <dataValidation type="list" allowBlank="1" showInputMessage="1" showErrorMessage="1" errorTitle="Ошибка" error="Допускается ввод не более 900 символов!" sqref="G359 G366 G373 G407 G414 G421" xr:uid="{00000000-0002-0000-3800-00002B000000}">
      <formula1>KOL_TR</formula1>
    </dataValidation>
    <dataValidation type="list" allowBlank="1" showInputMessage="1" showErrorMessage="1" errorTitle="Ошибка" error="Допускается ввод не более 900 символов!" sqref="G358 G406" xr:uid="{00000000-0002-0000-3800-00002C000000}">
      <formula1>napr_tr_C6</formula1>
    </dataValidation>
    <dataValidation type="list" allowBlank="1" showInputMessage="1" showErrorMessage="1" errorTitle="Ошибка" error="Допускается ввод не более 900 символов!" sqref="G365 G413" xr:uid="{00000000-0002-0000-3800-00002D000000}">
      <formula1>napr_tr_C7</formula1>
    </dataValidation>
    <dataValidation type="list" allowBlank="1" showInputMessage="1" showErrorMessage="1" errorTitle="Ошибка" error="Допускается ввод не более 900 символов!" sqref="G368 G375 G416 G423" xr:uid="{00000000-0002-0000-3800-00002E000000}">
      <formula1>TYPE_С7</formula1>
    </dataValidation>
    <dataValidation type="list" allowBlank="1" showInputMessage="1" showErrorMessage="1" errorTitle="Ошибка" error="Допускается ввод не более 900 символов!" sqref="G367 G415" xr:uid="{00000000-0002-0000-3800-00002F000000}">
      <formula1>tr_power_С7</formula1>
    </dataValidation>
    <dataValidation type="list" allowBlank="1" showInputMessage="1" showErrorMessage="1" errorTitle="Ошибка" error="Допускается ввод не более 900 символов!" sqref="G374 G422" xr:uid="{00000000-0002-0000-3800-000030000000}">
      <formula1>tr_power_С8</formula1>
    </dataValidation>
    <dataValidation type="list" allowBlank="1" showInputMessage="1" showErrorMessage="1" errorTitle="Ошибка" error="Допускается ввод не более 900 символов!" sqref="G372 G420" xr:uid="{00000000-0002-0000-3800-000031000000}">
      <formula1>napr_tr_C8</formula1>
    </dataValidation>
    <dataValidation type="list" allowBlank="1" showInputMessage="1" showErrorMessage="1" errorTitle="Ошибка" error="Допускается ввод не более 900 символов!" sqref="G380" xr:uid="{00000000-0002-0000-3800-000032000000}">
      <formula1>TYPE2_С8.1</formula1>
    </dataValidation>
    <dataValidation type="list" allowBlank="1" showInputMessage="1" showErrorMessage="1" errorTitle="Ошибка" error="Допускается ввод не более 900 символов!" sqref="G379" xr:uid="{00000000-0002-0000-3800-000033000000}">
      <formula1>TYPE_С8.1</formula1>
    </dataValidation>
    <dataValidation type="date" allowBlank="1" showInputMessage="1" showErrorMessage="1" errorTitle="Ошибка" error="Допускается только ввод даты в формате &quot;ДД.ММ.ГГГГ&quot;." sqref="K235" xr:uid="{00000000-0002-0000-3800-000034000000}">
      <formula1>1</formula1>
      <formula2>51136</formula2>
    </dataValidation>
    <dataValidation type="list" allowBlank="1" showInputMessage="1" showErrorMessage="1" errorTitle="Ошибка" error="Выберите значение из списка" prompt="Выберите значение из списка" sqref="I246" xr:uid="{00000000-0002-0000-3800-000035000000}">
      <formula1>GROUP_AMORT</formula1>
    </dataValidation>
    <dataValidation type="list" allowBlank="1" showInputMessage="1" showErrorMessage="1" errorTitle="Ошибка" error="Выберите значение из списка" promptTitle="Внимание" prompt="Выберите значение из списка" sqref="H243" xr:uid="{00000000-0002-0000-3800-000036000000}">
      <formula1>TYPE_DOC_RENT2</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O164"/>
  <sheetViews>
    <sheetView showGridLines="0" topLeftCell="AA20" workbookViewId="0">
      <selection activeCell="AA20" sqref="AA20"/>
    </sheetView>
  </sheetViews>
  <sheetFormatPr defaultRowHeight="11.25" customHeight="1"/>
  <cols>
    <col min="1" max="1" width="9.140625" hidden="1"/>
    <col min="2" max="2" width="5.42578125" hidden="1" customWidth="1"/>
    <col min="3" max="3" width="9.140625" hidden="1"/>
    <col min="4" max="4" width="3.28515625" hidden="1" customWidth="1"/>
    <col min="5" max="5" width="9.140625" hidden="1"/>
    <col min="6" max="6" width="10.28515625" hidden="1" customWidth="1"/>
    <col min="7" max="7" width="11.85546875" hidden="1" customWidth="1"/>
    <col min="8" max="8" width="9.140625" hidden="1"/>
    <col min="9" max="9" width="11.42578125" hidden="1" customWidth="1"/>
    <col min="10" max="10" width="11" hidden="1" customWidth="1"/>
    <col min="11" max="26" width="3.140625" hidden="1" customWidth="1"/>
    <col min="27" max="27" width="6.85546875" customWidth="1"/>
    <col min="28" max="28" width="13.7109375" customWidth="1"/>
    <col min="29" max="29" width="12.42578125" hidden="1" customWidth="1"/>
    <col min="30" max="30" width="70.85546875" customWidth="1"/>
    <col min="31" max="39" width="28.5703125" customWidth="1"/>
    <col min="40" max="41" width="9.140625" hidden="1"/>
  </cols>
  <sheetData>
    <row r="1" spans="4:41" ht="15.75" hidden="1" customHeight="1">
      <c r="AA1" s="40" t="s">
        <v>520</v>
      </c>
      <c r="AC1" s="40" t="s">
        <v>521</v>
      </c>
      <c r="AD1" s="40" t="s">
        <v>522</v>
      </c>
      <c r="AN1" t="s">
        <v>523</v>
      </c>
    </row>
    <row r="2" spans="4:41" ht="11.25" hidden="1" customHeight="1"/>
    <row r="3" spans="4:41" ht="11.25" hidden="1" customHeight="1"/>
    <row r="4" spans="4:41" ht="15.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96</v>
      </c>
      <c r="AC4" s="1">
        <v>0</v>
      </c>
      <c r="AD4" s="1">
        <v>496</v>
      </c>
      <c r="AE4" s="1">
        <v>200</v>
      </c>
      <c r="AF4" s="1">
        <v>200</v>
      </c>
      <c r="AG4" s="1">
        <v>200</v>
      </c>
      <c r="AH4" s="1">
        <v>200</v>
      </c>
      <c r="AI4" s="1">
        <v>200</v>
      </c>
      <c r="AJ4" s="1">
        <v>200</v>
      </c>
      <c r="AK4" s="1">
        <v>200</v>
      </c>
      <c r="AL4" s="1">
        <v>200</v>
      </c>
      <c r="AM4" s="1">
        <v>200</v>
      </c>
      <c r="AN4">
        <v>0</v>
      </c>
      <c r="AO4">
        <v>0</v>
      </c>
    </row>
    <row r="5" spans="4:41" ht="11.25" hidden="1" customHeight="1">
      <c r="D5" s="1">
        <v>40</v>
      </c>
      <c r="E5" s="40" t="s">
        <v>524</v>
      </c>
    </row>
    <row r="6" spans="4:41" ht="11.25" hidden="1" customHeight="1">
      <c r="D6" s="1">
        <v>40</v>
      </c>
      <c r="F6" s="1" t="s">
        <v>319</v>
      </c>
      <c r="G6" s="15" t="s">
        <v>320</v>
      </c>
      <c r="H6" s="15" t="s">
        <v>321</v>
      </c>
      <c r="I6" s="15" t="s">
        <v>322</v>
      </c>
      <c r="J6" s="2" t="s">
        <v>546</v>
      </c>
    </row>
    <row r="7" spans="4:41" ht="15" hidden="1" customHeight="1">
      <c r="D7" s="1">
        <v>40</v>
      </c>
      <c r="G7" s="1" t="s">
        <v>580</v>
      </c>
      <c r="H7" s="2" t="s">
        <v>546</v>
      </c>
      <c r="I7" s="2" t="s">
        <v>544</v>
      </c>
      <c r="J7" s="2" t="s">
        <v>545</v>
      </c>
    </row>
    <row r="8" spans="4:41" ht="11.25" hidden="1" customHeight="1">
      <c r="D8" s="1">
        <v>40</v>
      </c>
      <c r="G8" s="15" t="s">
        <v>320</v>
      </c>
      <c r="AE8" s="1" t="s">
        <v>1996</v>
      </c>
      <c r="AF8" s="1" t="s">
        <v>1956</v>
      </c>
      <c r="AG8" s="1" t="s">
        <v>1955</v>
      </c>
      <c r="AH8" s="1" t="s">
        <v>1996</v>
      </c>
      <c r="AI8" s="1" t="s">
        <v>1956</v>
      </c>
      <c r="AJ8" s="1" t="s">
        <v>1955</v>
      </c>
      <c r="AK8" s="1" t="s">
        <v>1996</v>
      </c>
      <c r="AL8" s="1" t="s">
        <v>1956</v>
      </c>
      <c r="AM8" s="1" t="s">
        <v>1955</v>
      </c>
    </row>
    <row r="9" spans="4:41" ht="11.25" hidden="1" customHeight="1">
      <c r="D9" s="1">
        <v>40</v>
      </c>
      <c r="G9" s="15" t="s">
        <v>321</v>
      </c>
      <c r="AE9" s="1" t="s">
        <v>2220</v>
      </c>
      <c r="AF9" s="1" t="s">
        <v>1981</v>
      </c>
      <c r="AG9" s="1" t="s">
        <v>2221</v>
      </c>
      <c r="AH9" s="1" t="s">
        <v>2220</v>
      </c>
      <c r="AI9" s="1" t="s">
        <v>1981</v>
      </c>
      <c r="AJ9" s="1" t="s">
        <v>2221</v>
      </c>
      <c r="AK9" s="1" t="s">
        <v>2220</v>
      </c>
      <c r="AL9" s="1" t="s">
        <v>1981</v>
      </c>
      <c r="AM9" s="1" t="s">
        <v>2221</v>
      </c>
    </row>
    <row r="10" spans="4:41" ht="11.25" hidden="1" customHeight="1">
      <c r="D10" s="1">
        <v>40</v>
      </c>
      <c r="G10" s="15" t="s">
        <v>322</v>
      </c>
      <c r="AE10" s="1" t="s">
        <v>617</v>
      </c>
      <c r="AF10" s="1" t="s">
        <v>617</v>
      </c>
      <c r="AG10" s="1" t="s">
        <v>617</v>
      </c>
      <c r="AH10" s="1" t="s">
        <v>617</v>
      </c>
      <c r="AI10" s="1" t="s">
        <v>617</v>
      </c>
      <c r="AJ10" s="1" t="s">
        <v>617</v>
      </c>
      <c r="AK10" s="1" t="s">
        <v>617</v>
      </c>
      <c r="AL10" s="1" t="s">
        <v>617</v>
      </c>
      <c r="AM10" s="1" t="s">
        <v>617</v>
      </c>
    </row>
    <row r="11" spans="4:41" ht="11.25" hidden="1" customHeight="1">
      <c r="D11" s="1">
        <v>40</v>
      </c>
      <c r="G11" s="1" t="s">
        <v>579</v>
      </c>
      <c r="AE11" s="1" t="s">
        <v>583</v>
      </c>
      <c r="AF11" s="1" t="s">
        <v>583</v>
      </c>
      <c r="AG11" s="1" t="s">
        <v>583</v>
      </c>
      <c r="AH11" s="1" t="s">
        <v>2222</v>
      </c>
      <c r="AI11" s="1" t="s">
        <v>2222</v>
      </c>
      <c r="AJ11" s="1" t="s">
        <v>2222</v>
      </c>
      <c r="AK11" s="1" t="s">
        <v>585</v>
      </c>
      <c r="AL11" s="1" t="s">
        <v>585</v>
      </c>
      <c r="AM11" s="1" t="s">
        <v>585</v>
      </c>
    </row>
    <row r="12" spans="4:41" ht="11.25" hidden="1" customHeight="1">
      <c r="D12" s="1">
        <v>40</v>
      </c>
      <c r="F12" s="1" t="s">
        <v>1957</v>
      </c>
      <c r="G12" s="1" t="s">
        <v>1957</v>
      </c>
      <c r="AE12" s="2">
        <v>15</v>
      </c>
      <c r="AF12" s="2">
        <v>15</v>
      </c>
      <c r="AG12" s="2">
        <v>15</v>
      </c>
      <c r="AH12" s="2">
        <v>15</v>
      </c>
      <c r="AI12" s="2">
        <v>15</v>
      </c>
      <c r="AJ12" s="2">
        <v>15</v>
      </c>
      <c r="AK12" s="2">
        <v>15</v>
      </c>
      <c r="AL12" s="2">
        <v>15</v>
      </c>
      <c r="AM12" s="2">
        <v>15</v>
      </c>
    </row>
    <row r="13" spans="4:41" ht="11.25" hidden="1" customHeight="1">
      <c r="D13" s="1">
        <v>40</v>
      </c>
    </row>
    <row r="14" spans="4:41" ht="11.25" hidden="1" customHeight="1">
      <c r="D14" s="1">
        <v>40</v>
      </c>
    </row>
    <row r="15" spans="4:41" ht="11.25" hidden="1" customHeight="1">
      <c r="D15" s="1">
        <v>40</v>
      </c>
    </row>
    <row r="16" spans="4:41" ht="11.25" hidden="1" customHeight="1">
      <c r="D16" s="1">
        <v>40</v>
      </c>
    </row>
    <row r="17" spans="4:39" ht="11.25" hidden="1" customHeight="1">
      <c r="D17" s="1">
        <v>40</v>
      </c>
    </row>
    <row r="18" spans="4:39" ht="11.25" hidden="1" customHeight="1">
      <c r="D18" s="1">
        <v>40</v>
      </c>
    </row>
    <row r="19" spans="4:39" ht="11.25" hidden="1" customHeight="1">
      <c r="D19" s="1">
        <v>40</v>
      </c>
    </row>
    <row r="20" spans="4:39" ht="30" customHeight="1">
      <c r="D20" s="1">
        <v>40</v>
      </c>
    </row>
    <row r="21" spans="4:39" ht="30" customHeight="1">
      <c r="D21" s="1">
        <v>40</v>
      </c>
      <c r="AB21" s="1195" t="s">
        <v>2139</v>
      </c>
      <c r="AC21" s="781"/>
      <c r="AD21" s="781"/>
      <c r="AE21" s="781"/>
      <c r="AF21" s="781"/>
      <c r="AG21" s="781"/>
      <c r="AH21" s="781"/>
      <c r="AI21" s="781"/>
      <c r="AJ21" s="781"/>
      <c r="AK21" s="781"/>
      <c r="AL21" s="781"/>
      <c r="AM21" s="781"/>
    </row>
    <row r="22" spans="4:39" ht="30" customHeight="1">
      <c r="D22" s="1">
        <v>40</v>
      </c>
      <c r="AB22" s="1195" t="s">
        <v>2223</v>
      </c>
      <c r="AC22" s="781"/>
      <c r="AD22" s="781"/>
      <c r="AE22" s="781"/>
      <c r="AF22" s="781"/>
      <c r="AG22" s="781"/>
      <c r="AH22" s="781"/>
      <c r="AI22" s="781"/>
      <c r="AJ22" s="781"/>
      <c r="AK22" s="781"/>
      <c r="AL22" s="781"/>
      <c r="AM22" s="781"/>
    </row>
    <row r="23" spans="4:39" ht="30" customHeight="1">
      <c r="D23" s="1">
        <v>40</v>
      </c>
      <c r="AB23" s="1195" t="s">
        <v>2224</v>
      </c>
      <c r="AC23" s="781"/>
      <c r="AD23" s="781"/>
      <c r="AE23" s="781"/>
      <c r="AF23" s="781"/>
      <c r="AG23" s="781"/>
      <c r="AH23" s="781"/>
      <c r="AI23" s="781"/>
      <c r="AJ23" s="781"/>
      <c r="AK23" s="781"/>
      <c r="AL23" s="781"/>
      <c r="AM23" s="781"/>
    </row>
    <row r="24" spans="4:39" ht="30" customHeight="1">
      <c r="D24" s="1">
        <v>40</v>
      </c>
      <c r="AB24" s="1195" t="s">
        <v>2225</v>
      </c>
      <c r="AC24" s="781"/>
      <c r="AD24" s="781"/>
      <c r="AE24" s="781"/>
      <c r="AF24" s="781"/>
      <c r="AG24" s="781"/>
      <c r="AH24" s="781"/>
      <c r="AI24" s="781"/>
      <c r="AJ24" s="781"/>
      <c r="AK24" s="781"/>
      <c r="AL24" s="781"/>
      <c r="AM24" s="781"/>
    </row>
    <row r="25" spans="4:39" ht="30" customHeight="1">
      <c r="D25" s="1">
        <v>40</v>
      </c>
    </row>
    <row r="26" spans="4:39" ht="30" customHeight="1">
      <c r="D26" s="1">
        <v>40</v>
      </c>
      <c r="G26" s="1" t="s">
        <v>1955</v>
      </c>
      <c r="H26" s="1" t="s">
        <v>2221</v>
      </c>
      <c r="I26" s="1" t="s">
        <v>617</v>
      </c>
      <c r="J26" s="1" t="s">
        <v>2226</v>
      </c>
      <c r="AD26" s="163" t="s">
        <v>2227</v>
      </c>
      <c r="AE26" s="89">
        <f>MIN(AG84,AJ84)</f>
        <v>0</v>
      </c>
    </row>
    <row r="27" spans="4:39" ht="30" customHeight="1">
      <c r="D27" s="1">
        <v>40</v>
      </c>
      <c r="G27" s="1" t="s">
        <v>2219</v>
      </c>
      <c r="H27" s="1" t="s">
        <v>2228</v>
      </c>
      <c r="I27" s="1" t="s">
        <v>617</v>
      </c>
      <c r="J27" s="1" t="s">
        <v>2229</v>
      </c>
      <c r="AD27" s="163" t="str">
        <f>"Установленные выпадающие доходы на "&amp;PRD-2&amp;" год"</f>
        <v>Установленные выпадающие доходы на 2024 год</v>
      </c>
      <c r="AE27" s="89"/>
    </row>
    <row r="28" spans="4:39" ht="30" customHeight="1">
      <c r="D28" s="1">
        <v>40</v>
      </c>
      <c r="G28" s="1" t="s">
        <v>1955</v>
      </c>
      <c r="H28" s="1" t="s">
        <v>2221</v>
      </c>
      <c r="I28" s="1" t="s">
        <v>617</v>
      </c>
      <c r="J28" s="1" t="s">
        <v>2230</v>
      </c>
      <c r="AD28" s="163" t="str">
        <f>"Невозмещённые расходы за "&amp;PRD-2&amp;" год (превышение фактических затрат по сравнению с полученной компенсацией)"</f>
        <v>Невозмещённые расходы за 2024 год (превышение фактических затрат по сравнению с полученной компенсацией)</v>
      </c>
      <c r="AE28" s="89">
        <f>AE26-AE27</f>
        <v>0</v>
      </c>
    </row>
    <row r="29" spans="4:39" ht="18" customHeight="1">
      <c r="D29" s="1">
        <v>24</v>
      </c>
      <c r="G29" s="1" t="s">
        <v>873</v>
      </c>
      <c r="H29" s="1" t="s">
        <v>874</v>
      </c>
      <c r="I29" s="1" t="s">
        <v>617</v>
      </c>
      <c r="J29" s="1" t="s">
        <v>2231</v>
      </c>
      <c r="AD29" s="163" t="str">
        <f>"ИПЦ "&amp;PRD-2&amp;"/"&amp;PRD-1</f>
        <v>ИПЦ 2024/2025</v>
      </c>
      <c r="AE29" s="162"/>
    </row>
    <row r="30" spans="4:39" ht="31.5" customHeight="1">
      <c r="D30" s="1">
        <v>42</v>
      </c>
      <c r="G30" s="1" t="s">
        <v>873</v>
      </c>
      <c r="H30" s="1" t="s">
        <v>874</v>
      </c>
      <c r="I30" s="1" t="s">
        <v>617</v>
      </c>
      <c r="J30" s="1" t="s">
        <v>2232</v>
      </c>
      <c r="AD30" s="163" t="str">
        <f>"ИПЦ "&amp;PRD-1&amp;"/"&amp;PRD</f>
        <v>ИПЦ 2025/2026</v>
      </c>
      <c r="AE30" s="162"/>
    </row>
    <row r="31" spans="4:39" ht="31.5" customHeight="1">
      <c r="D31" s="1">
        <v>42</v>
      </c>
      <c r="G31" s="1" t="s">
        <v>1955</v>
      </c>
      <c r="H31" s="1" t="s">
        <v>2221</v>
      </c>
      <c r="I31" s="1" t="s">
        <v>617</v>
      </c>
      <c r="J31" s="1" t="s">
        <v>2233</v>
      </c>
      <c r="AD31" s="163" t="s">
        <v>2234</v>
      </c>
      <c r="AE31" s="89">
        <f>AE28*(1+AE29)*(1+AE30)</f>
        <v>0</v>
      </c>
    </row>
    <row r="32" spans="4:39" ht="31.5" customHeight="1">
      <c r="D32" s="1">
        <v>42</v>
      </c>
      <c r="G32" s="1" t="s">
        <v>2219</v>
      </c>
      <c r="H32" s="1" t="s">
        <v>2228</v>
      </c>
      <c r="I32" s="1" t="s">
        <v>617</v>
      </c>
      <c r="J32" s="1" t="s">
        <v>2235</v>
      </c>
      <c r="AD32" s="163" t="str">
        <f>"Выпадающие доходы планируемые на период регулирования "&amp;PRD&amp;" г."</f>
        <v>Выпадающие доходы планируемые на период регулирования 2026 г.</v>
      </c>
      <c r="AE32" s="89">
        <f>AE31+AM84</f>
        <v>0</v>
      </c>
    </row>
    <row r="33" spans="2:40" ht="15" customHeight="1">
      <c r="D33" s="1">
        <v>20</v>
      </c>
    </row>
    <row r="34" spans="2:40" ht="33.75" customHeight="1">
      <c r="D34" s="1">
        <v>45</v>
      </c>
      <c r="AB34" s="1197" t="s">
        <v>509</v>
      </c>
      <c r="AC34" s="264"/>
      <c r="AD34" s="1196" t="s">
        <v>526</v>
      </c>
      <c r="AE34" s="1196" t="s">
        <v>2236</v>
      </c>
      <c r="AF34" s="1196"/>
      <c r="AG34" s="1196"/>
      <c r="AH34" s="1196" t="s">
        <v>2237</v>
      </c>
      <c r="AI34" s="1196"/>
      <c r="AJ34" s="1196"/>
      <c r="AK34" s="1196" t="s">
        <v>2238</v>
      </c>
      <c r="AL34" s="1196"/>
      <c r="AM34" s="1196"/>
    </row>
    <row r="35" spans="2:40" ht="121.5" customHeight="1">
      <c r="D35" s="1">
        <v>162</v>
      </c>
      <c r="AB35" s="1198"/>
      <c r="AC35" s="264"/>
      <c r="AD35" s="1196"/>
      <c r="AE35" s="264" t="s">
        <v>2239</v>
      </c>
      <c r="AF35" s="264" t="s">
        <v>2240</v>
      </c>
      <c r="AG35" s="264" t="s">
        <v>2241</v>
      </c>
      <c r="AH35" s="264" t="s">
        <v>2242</v>
      </c>
      <c r="AI35" s="264" t="s">
        <v>2240</v>
      </c>
      <c r="AJ35" s="264" t="s">
        <v>2241</v>
      </c>
      <c r="AK35" s="264" t="s">
        <v>2242</v>
      </c>
      <c r="AL35" s="264" t="s">
        <v>2240</v>
      </c>
      <c r="AM35" s="264" t="s">
        <v>2241</v>
      </c>
    </row>
    <row r="36" spans="2:40" ht="27" customHeight="1">
      <c r="D36" s="1">
        <v>36</v>
      </c>
      <c r="AB36" s="264">
        <v>1</v>
      </c>
      <c r="AC36" s="264"/>
      <c r="AD36" s="264">
        <v>2</v>
      </c>
      <c r="AE36" s="264">
        <v>3</v>
      </c>
      <c r="AF36" s="264">
        <v>4</v>
      </c>
      <c r="AG36" s="264">
        <v>5</v>
      </c>
      <c r="AH36" s="264">
        <v>6</v>
      </c>
      <c r="AI36" s="264">
        <v>7</v>
      </c>
      <c r="AJ36" s="264">
        <v>8</v>
      </c>
      <c r="AK36" s="264">
        <v>9</v>
      </c>
      <c r="AL36" s="264">
        <v>10</v>
      </c>
      <c r="AM36" s="264">
        <v>11</v>
      </c>
    </row>
    <row r="37" spans="2:40" ht="41.25" customHeight="1">
      <c r="D37" s="1">
        <v>55</v>
      </c>
      <c r="H37" s="1" t="s">
        <v>2243</v>
      </c>
      <c r="I37" s="63" t="s">
        <v>547</v>
      </c>
      <c r="J37" s="63" t="s">
        <v>547</v>
      </c>
      <c r="AB37" s="264" t="s">
        <v>528</v>
      </c>
      <c r="AC37" s="264"/>
      <c r="AD37" s="429" t="s">
        <v>2244</v>
      </c>
      <c r="AE37" s="427">
        <f t="shared" ref="AE37:AM37" si="0">AE38+AE39+AE40</f>
        <v>0</v>
      </c>
      <c r="AF37" s="428">
        <f t="shared" si="0"/>
        <v>0</v>
      </c>
      <c r="AG37" s="427">
        <f t="shared" si="0"/>
        <v>0</v>
      </c>
      <c r="AH37" s="427">
        <f t="shared" si="0"/>
        <v>0</v>
      </c>
      <c r="AI37" s="428">
        <f t="shared" si="0"/>
        <v>0</v>
      </c>
      <c r="AJ37" s="427">
        <f t="shared" si="0"/>
        <v>0</v>
      </c>
      <c r="AK37" s="427">
        <f t="shared" si="0"/>
        <v>0</v>
      </c>
      <c r="AL37" s="428">
        <f t="shared" si="0"/>
        <v>0</v>
      </c>
      <c r="AM37" s="427">
        <f t="shared" si="0"/>
        <v>0</v>
      </c>
    </row>
    <row r="38" spans="2:40" ht="43.5" customHeight="1">
      <c r="D38" s="1">
        <v>58</v>
      </c>
      <c r="H38" s="1" t="s">
        <v>2245</v>
      </c>
      <c r="I38" s="63" t="s">
        <v>547</v>
      </c>
      <c r="J38" s="63" t="s">
        <v>547</v>
      </c>
      <c r="AB38" s="83" t="s">
        <v>1052</v>
      </c>
      <c r="AC38" s="83"/>
      <c r="AD38" s="84" t="s">
        <v>2246</v>
      </c>
      <c r="AE38" s="147">
        <f>IF(AF38=0,0,AG38/AF38*1000)</f>
        <v>0</v>
      </c>
      <c r="AF38" s="89"/>
      <c r="AG38" s="89"/>
      <c r="AH38" s="89"/>
      <c r="AI38" s="89"/>
      <c r="AJ38" s="147">
        <f>IF(AI38=0,0,AH38*AI38/1000)</f>
        <v>0</v>
      </c>
      <c r="AK38" s="89"/>
      <c r="AL38" s="89"/>
      <c r="AM38" s="147">
        <f>IF(AL38=0,0,AK38*AL38/1000)</f>
        <v>0</v>
      </c>
    </row>
    <row r="39" spans="2:40" ht="41.25" customHeight="1">
      <c r="D39" s="1">
        <v>55</v>
      </c>
      <c r="H39" s="1" t="s">
        <v>2247</v>
      </c>
      <c r="I39" s="63" t="s">
        <v>547</v>
      </c>
      <c r="J39" s="63" t="s">
        <v>547</v>
      </c>
      <c r="AB39" s="83" t="s">
        <v>2248</v>
      </c>
      <c r="AC39" s="83"/>
      <c r="AD39" s="163" t="s">
        <v>2249</v>
      </c>
      <c r="AE39" s="147">
        <f>IF(AF39=0,0,AG39/AF39*1000)</f>
        <v>0</v>
      </c>
      <c r="AF39" s="89"/>
      <c r="AG39" s="89"/>
      <c r="AH39" s="89"/>
      <c r="AI39" s="89"/>
      <c r="AJ39" s="147">
        <f>IF(AI39=0,0,AH39*AI39/1000)</f>
        <v>0</v>
      </c>
      <c r="AK39" s="89"/>
      <c r="AL39" s="89"/>
      <c r="AM39" s="147">
        <f>IF(AL39=0,0,AK39*AL39/1000)</f>
        <v>0</v>
      </c>
    </row>
    <row r="40" spans="2:40" ht="24" customHeight="1">
      <c r="D40" s="1">
        <v>32</v>
      </c>
      <c r="H40" s="1" t="s">
        <v>2250</v>
      </c>
      <c r="I40" s="63" t="s">
        <v>547</v>
      </c>
      <c r="J40" s="63" t="s">
        <v>547</v>
      </c>
      <c r="AB40" s="83" t="s">
        <v>2251</v>
      </c>
      <c r="AC40" s="83"/>
      <c r="AD40" s="163" t="s">
        <v>2252</v>
      </c>
      <c r="AE40" s="147">
        <f>IF(AF40=0,0,AG40/AF40*1000)</f>
        <v>0</v>
      </c>
      <c r="AF40" s="89"/>
      <c r="AG40" s="89"/>
      <c r="AH40" s="89"/>
      <c r="AI40" s="89"/>
      <c r="AJ40" s="147">
        <f>IF(AI40=0,0,AH40*AI40/1000)</f>
        <v>0</v>
      </c>
      <c r="AK40" s="89"/>
      <c r="AL40" s="89"/>
      <c r="AM40" s="147">
        <f>IF(AL40=0,0,AK40*AL40/1000)</f>
        <v>0</v>
      </c>
    </row>
    <row r="41" spans="2:40" ht="60" customHeight="1">
      <c r="D41" s="1">
        <v>80</v>
      </c>
      <c r="H41" s="1" t="s">
        <v>2253</v>
      </c>
      <c r="I41" s="63" t="s">
        <v>547</v>
      </c>
      <c r="J41" s="63" t="s">
        <v>547</v>
      </c>
      <c r="AB41" s="83" t="s">
        <v>530</v>
      </c>
      <c r="AC41" s="83"/>
      <c r="AD41" s="163" t="s">
        <v>2254</v>
      </c>
      <c r="AE41" s="549"/>
      <c r="AF41" s="549"/>
      <c r="AG41" s="427">
        <f>AG42+AG49+AG56+AG61+AG67+AG73+AG79</f>
        <v>0</v>
      </c>
      <c r="AH41" s="549"/>
      <c r="AI41" s="549"/>
      <c r="AJ41" s="427">
        <f>AJ42+AJ49+AJ56+AJ61+AJ67+AJ73+AJ79</f>
        <v>0</v>
      </c>
      <c r="AK41" s="549"/>
      <c r="AL41" s="549"/>
      <c r="AM41" s="427">
        <f>AM42+AM49+AM56+AM61+AM67+AM73+AM79</f>
        <v>0</v>
      </c>
    </row>
    <row r="42" spans="2:40" ht="27.75" customHeight="1">
      <c r="D42" s="1">
        <v>37</v>
      </c>
      <c r="H42" s="1" t="s">
        <v>2255</v>
      </c>
      <c r="I42" s="63" t="s">
        <v>547</v>
      </c>
      <c r="J42" s="63" t="s">
        <v>547</v>
      </c>
      <c r="AB42" s="83" t="s">
        <v>532</v>
      </c>
      <c r="AC42" s="83"/>
      <c r="AD42" s="163" t="s">
        <v>2256</v>
      </c>
      <c r="AE42" s="549"/>
      <c r="AF42" s="549"/>
      <c r="AG42" s="427">
        <f>SUM(AG43:AG48)</f>
        <v>0</v>
      </c>
      <c r="AH42" s="549"/>
      <c r="AI42" s="549"/>
      <c r="AJ42" s="427">
        <f>SUM(AJ43:AJ48)</f>
        <v>0</v>
      </c>
      <c r="AK42" s="549"/>
      <c r="AL42" s="549"/>
      <c r="AM42" s="427">
        <f>SUM(AM43:AM48)</f>
        <v>0</v>
      </c>
    </row>
    <row r="43" spans="2:40" ht="23.25" hidden="1" customHeight="1">
      <c r="B43" s="1" t="b">
        <f>AC43&lt;&gt;$AC$43</f>
        <v>0</v>
      </c>
      <c r="D43" s="1">
        <v>37</v>
      </c>
      <c r="I43" s="29" t="str">
        <f>CONCATENATE(AD43,"##",AD44,"##",AD45,"##",AD46,"##",AD47)</f>
        <v>########</v>
      </c>
      <c r="J43" s="442" t="str">
        <f>AC43</f>
        <v>0</v>
      </c>
      <c r="AA43" s="1194" t="s">
        <v>517</v>
      </c>
      <c r="AB43" s="836" t="str">
        <f>$AB$42&amp;"."&amp;AC43</f>
        <v>3.0</v>
      </c>
      <c r="AC43" s="1161" t="s">
        <v>578</v>
      </c>
      <c r="AD43" s="475"/>
      <c r="AE43" s="549"/>
      <c r="AF43" s="549"/>
      <c r="AG43" s="549"/>
      <c r="AH43" s="549"/>
      <c r="AI43" s="549"/>
      <c r="AJ43" s="549"/>
      <c r="AK43" s="549"/>
      <c r="AL43" s="549"/>
      <c r="AM43" s="549"/>
      <c r="AN43" t="s">
        <v>539</v>
      </c>
    </row>
    <row r="44" spans="2:40" ht="23.25" hidden="1" customHeight="1">
      <c r="B44" s="1" t="b">
        <f>AC43&lt;&gt;$AC$43</f>
        <v>0</v>
      </c>
      <c r="D44" s="1">
        <v>37</v>
      </c>
      <c r="I44" s="1" t="str">
        <f>I43</f>
        <v>########</v>
      </c>
      <c r="J44" s="442" t="str">
        <f>J43</f>
        <v>0</v>
      </c>
      <c r="AA44" s="1194"/>
      <c r="AB44" s="837"/>
      <c r="AC44" s="1162"/>
      <c r="AD44" s="475"/>
      <c r="AE44" s="549"/>
      <c r="AF44" s="549"/>
      <c r="AG44" s="549"/>
      <c r="AH44" s="549"/>
      <c r="AI44" s="549"/>
      <c r="AJ44" s="549"/>
      <c r="AK44" s="549"/>
      <c r="AL44" s="549"/>
      <c r="AM44" s="549"/>
    </row>
    <row r="45" spans="2:40" ht="23.25" hidden="1" customHeight="1">
      <c r="B45" s="1" t="b">
        <f>AC43&lt;&gt;$AC$43</f>
        <v>0</v>
      </c>
      <c r="D45" s="1">
        <v>37</v>
      </c>
      <c r="I45" s="1" t="str">
        <f>I43</f>
        <v>########</v>
      </c>
      <c r="J45" s="442" t="str">
        <f>J43</f>
        <v>0</v>
      </c>
      <c r="AA45" s="1194"/>
      <c r="AB45" s="837"/>
      <c r="AC45" s="1162"/>
      <c r="AD45" s="475"/>
      <c r="AE45" s="549"/>
      <c r="AF45" s="549"/>
      <c r="AG45" s="549"/>
      <c r="AH45" s="549"/>
      <c r="AI45" s="549"/>
      <c r="AJ45" s="549"/>
      <c r="AK45" s="549"/>
      <c r="AL45" s="549"/>
      <c r="AM45" s="549"/>
    </row>
    <row r="46" spans="2:40" ht="23.25" hidden="1" customHeight="1">
      <c r="B46" s="1" t="b">
        <f>AC43&lt;&gt;$AC$43</f>
        <v>0</v>
      </c>
      <c r="D46" s="1">
        <v>37</v>
      </c>
      <c r="I46" s="1" t="str">
        <f>I43</f>
        <v>########</v>
      </c>
      <c r="J46" s="442" t="str">
        <f>J43</f>
        <v>0</v>
      </c>
      <c r="AA46" s="1194"/>
      <c r="AB46" s="837"/>
      <c r="AC46" s="1162"/>
      <c r="AD46" s="468"/>
      <c r="AE46" s="550"/>
      <c r="AF46" s="550"/>
      <c r="AG46" s="550"/>
      <c r="AH46" s="550"/>
      <c r="AI46" s="550"/>
      <c r="AJ46" s="550"/>
      <c r="AK46" s="550"/>
      <c r="AL46" s="550"/>
      <c r="AM46" s="550"/>
    </row>
    <row r="47" spans="2:40" ht="23.25" hidden="1" customHeight="1">
      <c r="B47" s="1" t="b">
        <f>AC43&lt;&gt;$AC$43</f>
        <v>0</v>
      </c>
      <c r="D47" s="1">
        <v>37</v>
      </c>
      <c r="H47" s="1" t="s">
        <v>2257</v>
      </c>
      <c r="I47" s="1" t="str">
        <f>I43</f>
        <v>########</v>
      </c>
      <c r="J47" s="442" t="str">
        <f>J43</f>
        <v>0</v>
      </c>
      <c r="AA47" s="1194"/>
      <c r="AB47" s="838"/>
      <c r="AC47" s="1163"/>
      <c r="AD47" s="475"/>
      <c r="AE47" s="551">
        <f>IF(AF47=0,0,AG47/AF47*1000)</f>
        <v>0</v>
      </c>
      <c r="AF47" s="86"/>
      <c r="AG47" s="86"/>
      <c r="AH47" s="86"/>
      <c r="AI47" s="86"/>
      <c r="AJ47" s="147">
        <f>IF(AI47=0,0,AH47*AI47/1000)</f>
        <v>0</v>
      </c>
      <c r="AK47" s="86"/>
      <c r="AL47" s="86"/>
      <c r="AM47" s="147">
        <f>IF(AL47=0,0,AK47*AL47/1000)</f>
        <v>0</v>
      </c>
    </row>
    <row r="48" spans="2:40" ht="21.75" customHeight="1">
      <c r="D48" s="1">
        <v>29</v>
      </c>
      <c r="H48" s="1" t="s">
        <v>2257</v>
      </c>
      <c r="AB48" s="552"/>
      <c r="AC48" s="553"/>
      <c r="AD48" s="553" t="s">
        <v>540</v>
      </c>
      <c r="AE48" s="553"/>
      <c r="AF48" s="553"/>
      <c r="AG48" s="553"/>
      <c r="AH48" s="553"/>
      <c r="AI48" s="553"/>
      <c r="AJ48" s="553"/>
      <c r="AK48" s="553"/>
      <c r="AL48" s="553"/>
      <c r="AM48" s="554"/>
    </row>
    <row r="49" spans="2:40" ht="24" customHeight="1">
      <c r="D49" s="1">
        <v>32</v>
      </c>
      <c r="H49" s="1" t="s">
        <v>2258</v>
      </c>
      <c r="I49" s="63" t="s">
        <v>547</v>
      </c>
      <c r="J49" s="63" t="s">
        <v>547</v>
      </c>
      <c r="AB49" s="83" t="s">
        <v>534</v>
      </c>
      <c r="AC49" s="83"/>
      <c r="AD49" s="163" t="s">
        <v>2259</v>
      </c>
      <c r="AE49" s="549"/>
      <c r="AF49" s="549"/>
      <c r="AG49" s="427">
        <f>SUM(AG50:AG55)</f>
        <v>0</v>
      </c>
      <c r="AH49" s="549"/>
      <c r="AI49" s="549"/>
      <c r="AJ49" s="427">
        <f>SUM(AJ50:AJ55)</f>
        <v>0</v>
      </c>
      <c r="AK49" s="549"/>
      <c r="AL49" s="549"/>
      <c r="AM49" s="427">
        <f>SUM(AM50:AM55)</f>
        <v>0</v>
      </c>
    </row>
    <row r="50" spans="2:40" ht="23.25" hidden="1" customHeight="1">
      <c r="B50" s="1" t="b">
        <f>AC50&lt;&gt;$AC$50</f>
        <v>0</v>
      </c>
      <c r="D50" s="1">
        <v>37</v>
      </c>
      <c r="I50" s="29" t="str">
        <f>CONCATENATE(AD50,"##",AD51,"##",AD52,"##",AD53,"##",AD54)</f>
        <v>########</v>
      </c>
      <c r="J50" s="442" t="str">
        <f>AC50</f>
        <v>0</v>
      </c>
      <c r="AA50" s="1194" t="s">
        <v>517</v>
      </c>
      <c r="AB50" s="836" t="str">
        <f>$AB$49&amp;"."&amp;AC50</f>
        <v>4.0</v>
      </c>
      <c r="AC50" s="1161" t="s">
        <v>578</v>
      </c>
      <c r="AD50" s="475"/>
      <c r="AE50" s="549"/>
      <c r="AF50" s="549"/>
      <c r="AG50" s="549"/>
      <c r="AH50" s="549"/>
      <c r="AI50" s="549"/>
      <c r="AJ50" s="549"/>
      <c r="AK50" s="549"/>
      <c r="AL50" s="549"/>
      <c r="AM50" s="549"/>
      <c r="AN50" t="s">
        <v>539</v>
      </c>
    </row>
    <row r="51" spans="2:40" ht="23.25" hidden="1" customHeight="1">
      <c r="B51" s="1" t="b">
        <f>AC50&lt;&gt;$AC$50</f>
        <v>0</v>
      </c>
      <c r="D51" s="1">
        <v>37</v>
      </c>
      <c r="I51" s="1" t="str">
        <f>I50</f>
        <v>########</v>
      </c>
      <c r="J51" s="442" t="str">
        <f>J50</f>
        <v>0</v>
      </c>
      <c r="AA51" s="1194"/>
      <c r="AB51" s="837"/>
      <c r="AC51" s="1162"/>
      <c r="AD51" s="475"/>
      <c r="AE51" s="549"/>
      <c r="AF51" s="549"/>
      <c r="AG51" s="549"/>
      <c r="AH51" s="549"/>
      <c r="AI51" s="549"/>
      <c r="AJ51" s="549"/>
      <c r="AK51" s="549"/>
      <c r="AL51" s="549"/>
      <c r="AM51" s="549"/>
    </row>
    <row r="52" spans="2:40" ht="23.25" hidden="1" customHeight="1">
      <c r="B52" s="1" t="b">
        <f>AC50&lt;&gt;$AC$50</f>
        <v>0</v>
      </c>
      <c r="D52" s="1">
        <v>37</v>
      </c>
      <c r="I52" s="1" t="str">
        <f>I50</f>
        <v>########</v>
      </c>
      <c r="J52" s="442" t="str">
        <f>J50</f>
        <v>0</v>
      </c>
      <c r="AA52" s="1194"/>
      <c r="AB52" s="837"/>
      <c r="AC52" s="1162"/>
      <c r="AD52" s="475"/>
      <c r="AE52" s="549"/>
      <c r="AF52" s="549"/>
      <c r="AG52" s="549"/>
      <c r="AH52" s="549"/>
      <c r="AI52" s="549"/>
      <c r="AJ52" s="549"/>
      <c r="AK52" s="549"/>
      <c r="AL52" s="549"/>
      <c r="AM52" s="549"/>
    </row>
    <row r="53" spans="2:40" ht="23.25" hidden="1" customHeight="1">
      <c r="B53" s="1" t="b">
        <f>AC50&lt;&gt;$AC$50</f>
        <v>0</v>
      </c>
      <c r="D53" s="1">
        <v>37</v>
      </c>
      <c r="I53" s="1" t="str">
        <f>I50</f>
        <v>########</v>
      </c>
      <c r="J53" s="442" t="str">
        <f>J50</f>
        <v>0</v>
      </c>
      <c r="AA53" s="1194"/>
      <c r="AB53" s="837"/>
      <c r="AC53" s="1162"/>
      <c r="AD53" s="475"/>
      <c r="AE53" s="549"/>
      <c r="AF53" s="549"/>
      <c r="AG53" s="549"/>
      <c r="AH53" s="549"/>
      <c r="AI53" s="549"/>
      <c r="AJ53" s="549"/>
      <c r="AK53" s="549"/>
      <c r="AL53" s="549"/>
      <c r="AM53" s="549"/>
    </row>
    <row r="54" spans="2:40" ht="23.25" hidden="1" customHeight="1">
      <c r="B54" s="1" t="b">
        <f>AC50&lt;&gt;$AC$50</f>
        <v>0</v>
      </c>
      <c r="D54" s="1">
        <v>37</v>
      </c>
      <c r="H54" s="1" t="s">
        <v>2260</v>
      </c>
      <c r="I54" s="1" t="str">
        <f>I50</f>
        <v>########</v>
      </c>
      <c r="J54" s="442" t="str">
        <f>J50</f>
        <v>0</v>
      </c>
      <c r="AA54" s="1194"/>
      <c r="AB54" s="838"/>
      <c r="AC54" s="1163"/>
      <c r="AD54" s="475"/>
      <c r="AE54" s="147">
        <f>IF(AF54=0,0,AG54/AF54*1000)</f>
        <v>0</v>
      </c>
      <c r="AF54" s="86"/>
      <c r="AG54" s="86"/>
      <c r="AH54" s="86"/>
      <c r="AI54" s="86"/>
      <c r="AJ54" s="147">
        <f>IF(AI54=0,0,AH54*AI54/1000)</f>
        <v>0</v>
      </c>
      <c r="AK54" s="86"/>
      <c r="AL54" s="86"/>
      <c r="AM54" s="147">
        <f>IF(AL54=0,0,AK54*AL54/1000)</f>
        <v>0</v>
      </c>
    </row>
    <row r="55" spans="2:40" ht="21.75" customHeight="1">
      <c r="D55" s="1">
        <v>29</v>
      </c>
      <c r="H55" s="1" t="s">
        <v>2260</v>
      </c>
      <c r="AB55" s="552"/>
      <c r="AC55" s="553"/>
      <c r="AD55" s="553" t="s">
        <v>540</v>
      </c>
      <c r="AE55" s="553"/>
      <c r="AF55" s="553"/>
      <c r="AG55" s="553"/>
      <c r="AH55" s="553"/>
      <c r="AI55" s="553"/>
      <c r="AJ55" s="553"/>
      <c r="AK55" s="553"/>
      <c r="AL55" s="553"/>
      <c r="AM55" s="554"/>
    </row>
    <row r="56" spans="2:40" ht="24" customHeight="1">
      <c r="D56" s="1">
        <v>32</v>
      </c>
      <c r="H56" s="1" t="s">
        <v>2261</v>
      </c>
      <c r="I56" s="63" t="s">
        <v>547</v>
      </c>
      <c r="J56" s="63" t="s">
        <v>547</v>
      </c>
      <c r="AB56" s="83" t="s">
        <v>536</v>
      </c>
      <c r="AC56" s="83"/>
      <c r="AD56" s="163" t="s">
        <v>2262</v>
      </c>
      <c r="AE56" s="549"/>
      <c r="AF56" s="549"/>
      <c r="AG56" s="427">
        <f>SUM(AG57:AG60)</f>
        <v>0</v>
      </c>
      <c r="AH56" s="549"/>
      <c r="AI56" s="549"/>
      <c r="AJ56" s="427">
        <f>SUM(AJ57:AJ60)</f>
        <v>0</v>
      </c>
      <c r="AK56" s="549"/>
      <c r="AL56" s="549"/>
      <c r="AM56" s="427">
        <f>SUM(AM57:AM60)</f>
        <v>0</v>
      </c>
    </row>
    <row r="57" spans="2:40" ht="23.25" hidden="1" customHeight="1">
      <c r="B57" s="1" t="b">
        <f>AC57&lt;&gt;$AC$57</f>
        <v>0</v>
      </c>
      <c r="D57" s="1">
        <v>37</v>
      </c>
      <c r="I57" s="29" t="str">
        <f>CONCATENATE(AD57,"##",AD58,"##",AD59)</f>
        <v>####</v>
      </c>
      <c r="J57" s="442" t="str">
        <f>AC57</f>
        <v>0</v>
      </c>
      <c r="AA57" s="1194" t="s">
        <v>517</v>
      </c>
      <c r="AB57" s="839" t="str">
        <f>$AB$56&amp;"."&amp;AC57</f>
        <v>5.0</v>
      </c>
      <c r="AC57" s="1161" t="s">
        <v>578</v>
      </c>
      <c r="AD57" s="475"/>
      <c r="AE57" s="549"/>
      <c r="AF57" s="549"/>
      <c r="AG57" s="549"/>
      <c r="AH57" s="549"/>
      <c r="AI57" s="549"/>
      <c r="AJ57" s="549"/>
      <c r="AK57" s="549"/>
      <c r="AL57" s="549"/>
      <c r="AM57" s="549"/>
      <c r="AN57" t="s">
        <v>539</v>
      </c>
    </row>
    <row r="58" spans="2:40" ht="23.25" hidden="1" customHeight="1">
      <c r="B58" s="1" t="b">
        <f>AC57&lt;&gt;$AC$57</f>
        <v>0</v>
      </c>
      <c r="D58" s="1">
        <v>37</v>
      </c>
      <c r="I58" s="1" t="str">
        <f>I57</f>
        <v>####</v>
      </c>
      <c r="J58" s="442" t="str">
        <f>J57</f>
        <v>0</v>
      </c>
      <c r="AA58" s="1194"/>
      <c r="AB58" s="840"/>
      <c r="AC58" s="1162"/>
      <c r="AD58" s="475"/>
      <c r="AE58" s="549"/>
      <c r="AF58" s="549"/>
      <c r="AG58" s="549"/>
      <c r="AH58" s="549"/>
      <c r="AI58" s="549"/>
      <c r="AJ58" s="549"/>
      <c r="AK58" s="549"/>
      <c r="AL58" s="549"/>
      <c r="AM58" s="549"/>
    </row>
    <row r="59" spans="2:40" ht="23.25" hidden="1" customHeight="1">
      <c r="B59" s="1" t="b">
        <f>AC57&lt;&gt;$AC$57</f>
        <v>0</v>
      </c>
      <c r="D59" s="1">
        <v>37</v>
      </c>
      <c r="H59" s="1" t="s">
        <v>2263</v>
      </c>
      <c r="I59" s="1" t="str">
        <f>I57</f>
        <v>####</v>
      </c>
      <c r="J59" s="442" t="str">
        <f>J57</f>
        <v>0</v>
      </c>
      <c r="AA59" s="1194"/>
      <c r="AB59" s="841"/>
      <c r="AC59" s="1163"/>
      <c r="AD59" s="475"/>
      <c r="AE59" s="147">
        <f>IF(AF59=0,0,AG59/AF59*1000)</f>
        <v>0</v>
      </c>
      <c r="AF59" s="86"/>
      <c r="AG59" s="86"/>
      <c r="AH59" s="86"/>
      <c r="AI59" s="86"/>
      <c r="AJ59" s="147">
        <f>IF(AI59=0,0,AH59*AI59/1000)</f>
        <v>0</v>
      </c>
      <c r="AK59" s="86"/>
      <c r="AL59" s="86"/>
      <c r="AM59" s="147">
        <f>IF(AL59=0,0,AK59*AL59/1000)</f>
        <v>0</v>
      </c>
    </row>
    <row r="60" spans="2:40" ht="21.75" customHeight="1">
      <c r="D60" s="1">
        <v>29</v>
      </c>
      <c r="H60" s="1" t="s">
        <v>2263</v>
      </c>
      <c r="AB60" s="552"/>
      <c r="AC60" s="553"/>
      <c r="AD60" s="553" t="s">
        <v>540</v>
      </c>
      <c r="AE60" s="553"/>
      <c r="AF60" s="553"/>
      <c r="AG60" s="553"/>
      <c r="AH60" s="553"/>
      <c r="AI60" s="553"/>
      <c r="AJ60" s="553"/>
      <c r="AK60" s="553"/>
      <c r="AL60" s="553"/>
      <c r="AM60" s="554"/>
    </row>
    <row r="61" spans="2:40" ht="60" customHeight="1">
      <c r="D61" s="1">
        <v>80</v>
      </c>
      <c r="H61" s="1" t="s">
        <v>2264</v>
      </c>
      <c r="I61" s="63" t="s">
        <v>547</v>
      </c>
      <c r="J61" s="63" t="s">
        <v>547</v>
      </c>
      <c r="AB61" s="83" t="s">
        <v>541</v>
      </c>
      <c r="AC61" s="83"/>
      <c r="AD61" s="163" t="s">
        <v>2265</v>
      </c>
      <c r="AE61" s="549"/>
      <c r="AF61" s="549"/>
      <c r="AG61" s="427">
        <f>SUM(AG62:AG66)</f>
        <v>0</v>
      </c>
      <c r="AH61" s="549"/>
      <c r="AI61" s="549"/>
      <c r="AJ61" s="427">
        <f>SUM(AJ62:AJ66)</f>
        <v>0</v>
      </c>
      <c r="AK61" s="549"/>
      <c r="AL61" s="549"/>
      <c r="AM61" s="427">
        <f>SUM(AM62:AM66)</f>
        <v>0</v>
      </c>
    </row>
    <row r="62" spans="2:40" ht="23.25" hidden="1" customHeight="1">
      <c r="B62" s="1" t="b">
        <f>AC62&lt;&gt;$AC$62</f>
        <v>0</v>
      </c>
      <c r="D62" s="1">
        <v>37</v>
      </c>
      <c r="I62" s="29" t="str">
        <f>CONCATENATE(AD62,"##",AD63,"##",AD64,"##",AD65)</f>
        <v>######</v>
      </c>
      <c r="J62" s="442" t="str">
        <f>AC62</f>
        <v>0</v>
      </c>
      <c r="AA62" s="1194" t="s">
        <v>517</v>
      </c>
      <c r="AB62" s="839" t="str">
        <f>$AB$61&amp;"."&amp;AC62</f>
        <v>6.0</v>
      </c>
      <c r="AC62" s="1161" t="s">
        <v>578</v>
      </c>
      <c r="AD62" s="475"/>
      <c r="AE62" s="549"/>
      <c r="AF62" s="549"/>
      <c r="AG62" s="549"/>
      <c r="AH62" s="549"/>
      <c r="AI62" s="549"/>
      <c r="AJ62" s="549"/>
      <c r="AK62" s="549"/>
      <c r="AL62" s="549"/>
      <c r="AM62" s="549"/>
      <c r="AN62" t="s">
        <v>539</v>
      </c>
    </row>
    <row r="63" spans="2:40" ht="23.25" hidden="1" customHeight="1">
      <c r="B63" s="1" t="b">
        <f>AC62&lt;&gt;$AC$62</f>
        <v>0</v>
      </c>
      <c r="D63" s="1">
        <v>37</v>
      </c>
      <c r="I63" s="1" t="str">
        <f>I62</f>
        <v>######</v>
      </c>
      <c r="J63" s="442" t="str">
        <f>J62</f>
        <v>0</v>
      </c>
      <c r="AA63" s="1194"/>
      <c r="AB63" s="840"/>
      <c r="AC63" s="1162"/>
      <c r="AD63" s="475"/>
      <c r="AE63" s="549"/>
      <c r="AF63" s="549"/>
      <c r="AG63" s="549"/>
      <c r="AH63" s="549"/>
      <c r="AI63" s="549"/>
      <c r="AJ63" s="549"/>
      <c r="AK63" s="549"/>
      <c r="AL63" s="549"/>
      <c r="AM63" s="549"/>
    </row>
    <row r="64" spans="2:40" ht="23.25" hidden="1" customHeight="1">
      <c r="B64" s="1" t="b">
        <f>AC62&lt;&gt;$AC$62</f>
        <v>0</v>
      </c>
      <c r="D64" s="1">
        <v>37</v>
      </c>
      <c r="I64" s="1" t="str">
        <f>I62</f>
        <v>######</v>
      </c>
      <c r="J64" s="442" t="str">
        <f>J62</f>
        <v>0</v>
      </c>
      <c r="AA64" s="1194"/>
      <c r="AB64" s="840"/>
      <c r="AC64" s="1162"/>
      <c r="AD64" s="475"/>
      <c r="AE64" s="549"/>
      <c r="AF64" s="549"/>
      <c r="AG64" s="549"/>
      <c r="AH64" s="549"/>
      <c r="AI64" s="549"/>
      <c r="AJ64" s="549"/>
      <c r="AK64" s="549"/>
      <c r="AL64" s="549"/>
      <c r="AM64" s="549"/>
    </row>
    <row r="65" spans="2:40" ht="23.25" hidden="1" customHeight="1">
      <c r="B65" s="1" t="b">
        <f>AC62&lt;&gt;$AC$62</f>
        <v>0</v>
      </c>
      <c r="D65" s="1">
        <v>37</v>
      </c>
      <c r="H65" s="1" t="s">
        <v>2266</v>
      </c>
      <c r="I65" s="1" t="str">
        <f>I62</f>
        <v>######</v>
      </c>
      <c r="J65" s="442" t="str">
        <f>J62</f>
        <v>0</v>
      </c>
      <c r="AA65" s="1194"/>
      <c r="AB65" s="841"/>
      <c r="AC65" s="1163"/>
      <c r="AD65" s="475"/>
      <c r="AE65" s="147">
        <f>IF(AF65=0,0,AG65/AF65*1000)</f>
        <v>0</v>
      </c>
      <c r="AF65" s="86"/>
      <c r="AG65" s="86"/>
      <c r="AH65" s="86"/>
      <c r="AI65" s="86"/>
      <c r="AJ65" s="147">
        <f>IF(AI65=0,0,AH65*AI65/1000)</f>
        <v>0</v>
      </c>
      <c r="AK65" s="86"/>
      <c r="AL65" s="86"/>
      <c r="AM65" s="147">
        <f>IF(AL65=0,0,AK65*AL65/1000)</f>
        <v>0</v>
      </c>
    </row>
    <row r="66" spans="2:40" ht="21.75" customHeight="1">
      <c r="D66" s="1">
        <v>29</v>
      </c>
      <c r="H66" s="1" t="s">
        <v>2266</v>
      </c>
      <c r="AB66" s="552"/>
      <c r="AC66" s="553"/>
      <c r="AD66" s="553" t="s">
        <v>540</v>
      </c>
      <c r="AE66" s="553"/>
      <c r="AF66" s="553"/>
      <c r="AG66" s="553"/>
      <c r="AH66" s="553"/>
      <c r="AI66" s="553"/>
      <c r="AJ66" s="553"/>
      <c r="AK66" s="553"/>
      <c r="AL66" s="553"/>
      <c r="AM66" s="554"/>
    </row>
    <row r="67" spans="2:40" ht="39" customHeight="1">
      <c r="D67" s="1">
        <v>52</v>
      </c>
      <c r="H67" s="1" t="s">
        <v>2267</v>
      </c>
      <c r="I67" s="63" t="s">
        <v>547</v>
      </c>
      <c r="J67" s="63" t="s">
        <v>547</v>
      </c>
      <c r="AB67" s="83" t="s">
        <v>543</v>
      </c>
      <c r="AC67" s="83"/>
      <c r="AD67" s="163" t="s">
        <v>2268</v>
      </c>
      <c r="AE67" s="549"/>
      <c r="AF67" s="549"/>
      <c r="AG67" s="427">
        <f>SUM(AG68:AG72)</f>
        <v>0</v>
      </c>
      <c r="AH67" s="549"/>
      <c r="AI67" s="549"/>
      <c r="AJ67" s="427">
        <f>SUM(AJ68:AJ72)</f>
        <v>0</v>
      </c>
      <c r="AK67" s="549"/>
      <c r="AL67" s="549"/>
      <c r="AM67" s="427">
        <f>SUM(AM68:AM72)</f>
        <v>0</v>
      </c>
    </row>
    <row r="68" spans="2:40" ht="23.25" hidden="1" customHeight="1">
      <c r="B68" s="1" t="b">
        <f>AC68&lt;&gt;$AC$68</f>
        <v>0</v>
      </c>
      <c r="D68" s="1">
        <v>37</v>
      </c>
      <c r="I68" s="29" t="str">
        <f>CONCATENATE(AD68,"##",AD69,"##",AD70,"##",AD71)</f>
        <v>######</v>
      </c>
      <c r="J68" s="442" t="str">
        <f>AC68</f>
        <v>0</v>
      </c>
      <c r="AA68" s="1194" t="s">
        <v>517</v>
      </c>
      <c r="AB68" s="839" t="str">
        <f>$AB$67&amp;"."&amp;AC68</f>
        <v>7.0</v>
      </c>
      <c r="AC68" s="1161" t="s">
        <v>578</v>
      </c>
      <c r="AD68" s="475"/>
      <c r="AE68" s="549"/>
      <c r="AF68" s="549"/>
      <c r="AG68" s="549"/>
      <c r="AH68" s="549"/>
      <c r="AI68" s="549"/>
      <c r="AJ68" s="549"/>
      <c r="AK68" s="549"/>
      <c r="AL68" s="549"/>
      <c r="AM68" s="549"/>
      <c r="AN68" t="s">
        <v>539</v>
      </c>
    </row>
    <row r="69" spans="2:40" ht="23.25" hidden="1" customHeight="1">
      <c r="B69" s="1" t="b">
        <f>AC68&lt;&gt;$AC$68</f>
        <v>0</v>
      </c>
      <c r="D69" s="1">
        <v>37</v>
      </c>
      <c r="I69" s="1" t="str">
        <f>I68</f>
        <v>######</v>
      </c>
      <c r="J69" s="442" t="str">
        <f>J68</f>
        <v>0</v>
      </c>
      <c r="AA69" s="1194"/>
      <c r="AB69" s="840"/>
      <c r="AC69" s="1162"/>
      <c r="AD69" s="475"/>
      <c r="AE69" s="549"/>
      <c r="AF69" s="549"/>
      <c r="AG69" s="549"/>
      <c r="AH69" s="549"/>
      <c r="AI69" s="549"/>
      <c r="AJ69" s="549"/>
      <c r="AK69" s="549"/>
      <c r="AL69" s="549"/>
      <c r="AM69" s="549"/>
    </row>
    <row r="70" spans="2:40" ht="23.25" hidden="1" customHeight="1">
      <c r="B70" s="1" t="b">
        <f>AC68&lt;&gt;$AC$68</f>
        <v>0</v>
      </c>
      <c r="D70" s="1">
        <v>37</v>
      </c>
      <c r="I70" s="1" t="str">
        <f>I68</f>
        <v>######</v>
      </c>
      <c r="J70" s="442" t="str">
        <f>J68</f>
        <v>0</v>
      </c>
      <c r="AA70" s="1194"/>
      <c r="AB70" s="840"/>
      <c r="AC70" s="1162"/>
      <c r="AD70" s="475"/>
      <c r="AE70" s="549"/>
      <c r="AF70" s="549"/>
      <c r="AG70" s="549"/>
      <c r="AH70" s="549"/>
      <c r="AI70" s="549"/>
      <c r="AJ70" s="549"/>
      <c r="AK70" s="549"/>
      <c r="AL70" s="549"/>
      <c r="AM70" s="549"/>
    </row>
    <row r="71" spans="2:40" ht="23.25" hidden="1" customHeight="1">
      <c r="B71" s="1" t="b">
        <f>AC68&lt;&gt;$AC$68</f>
        <v>0</v>
      </c>
      <c r="D71" s="1">
        <v>37</v>
      </c>
      <c r="H71" s="1" t="s">
        <v>2269</v>
      </c>
      <c r="I71" s="1" t="str">
        <f>I68</f>
        <v>######</v>
      </c>
      <c r="J71" s="442" t="str">
        <f>J68</f>
        <v>0</v>
      </c>
      <c r="AA71" s="1194"/>
      <c r="AB71" s="841"/>
      <c r="AC71" s="1163"/>
      <c r="AD71" s="475"/>
      <c r="AE71" s="147">
        <f>IF(AF71=0,0,AG71/AF71*1000)</f>
        <v>0</v>
      </c>
      <c r="AF71" s="86"/>
      <c r="AG71" s="86"/>
      <c r="AH71" s="86"/>
      <c r="AI71" s="86"/>
      <c r="AJ71" s="147">
        <f>IF(AI71=0,0,AH71*AI71/1000)</f>
        <v>0</v>
      </c>
      <c r="AK71" s="86"/>
      <c r="AL71" s="86"/>
      <c r="AM71" s="147">
        <f>IF(AL71=0,0,AK71*AL71/1000)</f>
        <v>0</v>
      </c>
    </row>
    <row r="72" spans="2:40" ht="21.75" customHeight="1">
      <c r="D72" s="1">
        <v>29</v>
      </c>
      <c r="H72" s="1" t="s">
        <v>2269</v>
      </c>
      <c r="AB72" s="552"/>
      <c r="AC72" s="553"/>
      <c r="AD72" s="553" t="s">
        <v>540</v>
      </c>
      <c r="AE72" s="553"/>
      <c r="AF72" s="553"/>
      <c r="AG72" s="553"/>
      <c r="AH72" s="553"/>
      <c r="AI72" s="553"/>
      <c r="AJ72" s="553"/>
      <c r="AK72" s="553"/>
      <c r="AL72" s="553"/>
      <c r="AM72" s="554"/>
    </row>
    <row r="73" spans="2:40" ht="39" customHeight="1">
      <c r="D73" s="1">
        <v>52</v>
      </c>
      <c r="H73" s="1" t="s">
        <v>2270</v>
      </c>
      <c r="I73" s="63" t="s">
        <v>547</v>
      </c>
      <c r="J73" s="63" t="s">
        <v>547</v>
      </c>
      <c r="AB73" s="83" t="s">
        <v>548</v>
      </c>
      <c r="AC73" s="83"/>
      <c r="AD73" s="163" t="s">
        <v>2271</v>
      </c>
      <c r="AE73" s="549"/>
      <c r="AF73" s="549"/>
      <c r="AG73" s="427">
        <f>SUM(AG74:AG78)</f>
        <v>0</v>
      </c>
      <c r="AH73" s="549"/>
      <c r="AI73" s="549"/>
      <c r="AJ73" s="427">
        <f>SUM(AJ74:AJ78)</f>
        <v>0</v>
      </c>
      <c r="AK73" s="549"/>
      <c r="AL73" s="549"/>
      <c r="AM73" s="427">
        <f>SUM(AM74:AM78)</f>
        <v>0</v>
      </c>
    </row>
    <row r="74" spans="2:40" ht="23.25" hidden="1" customHeight="1">
      <c r="B74" s="1" t="b">
        <f>AC74&lt;&gt;$AC$74</f>
        <v>0</v>
      </c>
      <c r="D74" s="1">
        <v>37</v>
      </c>
      <c r="I74" s="29" t="str">
        <f>CONCATENATE(AD74,"##",AD75,"##",AD76,"##",AD77)</f>
        <v>######</v>
      </c>
      <c r="J74" s="442" t="str">
        <f>AC74</f>
        <v>0</v>
      </c>
      <c r="AA74" s="1194" t="s">
        <v>517</v>
      </c>
      <c r="AB74" s="839" t="str">
        <f>$AB$73&amp;"."&amp;AC74</f>
        <v>8.0</v>
      </c>
      <c r="AC74" s="1161" t="s">
        <v>578</v>
      </c>
      <c r="AD74" s="475"/>
      <c r="AE74" s="549"/>
      <c r="AF74" s="549"/>
      <c r="AG74" s="549"/>
      <c r="AH74" s="549"/>
      <c r="AI74" s="549"/>
      <c r="AJ74" s="549"/>
      <c r="AK74" s="549"/>
      <c r="AL74" s="549"/>
      <c r="AM74" s="549"/>
      <c r="AN74" t="s">
        <v>539</v>
      </c>
    </row>
    <row r="75" spans="2:40" ht="23.25" hidden="1" customHeight="1">
      <c r="B75" s="1" t="b">
        <f>AC74&lt;&gt;$AC$74</f>
        <v>0</v>
      </c>
      <c r="D75" s="1">
        <v>37</v>
      </c>
      <c r="I75" s="1" t="str">
        <f>I74</f>
        <v>######</v>
      </c>
      <c r="J75" s="442" t="str">
        <f>J74</f>
        <v>0</v>
      </c>
      <c r="AA75" s="1194"/>
      <c r="AB75" s="840"/>
      <c r="AC75" s="1162"/>
      <c r="AD75" s="475"/>
      <c r="AE75" s="549"/>
      <c r="AF75" s="549"/>
      <c r="AG75" s="549"/>
      <c r="AH75" s="549"/>
      <c r="AI75" s="549"/>
      <c r="AJ75" s="549"/>
      <c r="AK75" s="549"/>
      <c r="AL75" s="549"/>
      <c r="AM75" s="549"/>
    </row>
    <row r="76" spans="2:40" ht="23.25" hidden="1" customHeight="1">
      <c r="B76" s="1" t="b">
        <f>AC74&lt;&gt;$AC$74</f>
        <v>0</v>
      </c>
      <c r="D76" s="1">
        <v>37</v>
      </c>
      <c r="I76" s="1" t="str">
        <f>I74</f>
        <v>######</v>
      </c>
      <c r="J76" s="442" t="str">
        <f>J74</f>
        <v>0</v>
      </c>
      <c r="AA76" s="1194"/>
      <c r="AB76" s="840"/>
      <c r="AC76" s="1162"/>
      <c r="AD76" s="475"/>
      <c r="AE76" s="549"/>
      <c r="AF76" s="549"/>
      <c r="AG76" s="549"/>
      <c r="AH76" s="549"/>
      <c r="AI76" s="549"/>
      <c r="AJ76" s="549"/>
      <c r="AK76" s="549"/>
      <c r="AL76" s="549"/>
      <c r="AM76" s="549"/>
    </row>
    <row r="77" spans="2:40" ht="23.25" hidden="1" customHeight="1">
      <c r="B77" s="1" t="b">
        <f>AC74&lt;&gt;$AC$74</f>
        <v>0</v>
      </c>
      <c r="D77" s="1">
        <v>37</v>
      </c>
      <c r="H77" s="1" t="s">
        <v>2272</v>
      </c>
      <c r="I77" s="1" t="str">
        <f>I74</f>
        <v>######</v>
      </c>
      <c r="J77" s="442" t="str">
        <f>J74</f>
        <v>0</v>
      </c>
      <c r="AA77" s="1194"/>
      <c r="AB77" s="841"/>
      <c r="AC77" s="1163"/>
      <c r="AD77" s="475"/>
      <c r="AE77" s="147">
        <f>IF(AF77=0,0,AG77/AF77*1000)</f>
        <v>0</v>
      </c>
      <c r="AF77" s="86"/>
      <c r="AG77" s="86"/>
      <c r="AH77" s="86"/>
      <c r="AI77" s="86"/>
      <c r="AJ77" s="147">
        <f>IF(AI77=0,0,AH77*AI77/1000)</f>
        <v>0</v>
      </c>
      <c r="AK77" s="86"/>
      <c r="AL77" s="86"/>
      <c r="AM77" s="147">
        <f>IF(AL77=0,0,AK77*AL77/1000)</f>
        <v>0</v>
      </c>
    </row>
    <row r="78" spans="2:40" ht="21.75" customHeight="1">
      <c r="D78" s="1">
        <v>29</v>
      </c>
      <c r="H78" s="1" t="s">
        <v>2272</v>
      </c>
      <c r="AB78" s="552"/>
      <c r="AC78" s="553"/>
      <c r="AD78" s="553" t="s">
        <v>540</v>
      </c>
      <c r="AE78" s="553"/>
      <c r="AF78" s="553"/>
      <c r="AG78" s="553"/>
      <c r="AH78" s="553"/>
      <c r="AI78" s="553"/>
      <c r="AJ78" s="553"/>
      <c r="AK78" s="553"/>
      <c r="AL78" s="553"/>
      <c r="AM78" s="554"/>
    </row>
    <row r="79" spans="2:40" ht="42" customHeight="1">
      <c r="D79" s="1">
        <v>56</v>
      </c>
      <c r="H79" s="1" t="s">
        <v>2273</v>
      </c>
      <c r="I79" s="63" t="s">
        <v>547</v>
      </c>
      <c r="J79" s="63" t="s">
        <v>547</v>
      </c>
      <c r="AB79" s="83" t="s">
        <v>2274</v>
      </c>
      <c r="AC79" s="83"/>
      <c r="AD79" s="163" t="s">
        <v>2275</v>
      </c>
      <c r="AE79" s="549"/>
      <c r="AF79" s="549"/>
      <c r="AG79" s="427">
        <f>SUM(AG80:AG82)</f>
        <v>0</v>
      </c>
      <c r="AH79" s="549"/>
      <c r="AI79" s="549"/>
      <c r="AJ79" s="427">
        <f>SUM(AJ80:AJ82)</f>
        <v>0</v>
      </c>
      <c r="AK79" s="549"/>
      <c r="AL79" s="549"/>
      <c r="AM79" s="427">
        <f>SUM(AM80:AM82)</f>
        <v>0</v>
      </c>
    </row>
    <row r="80" spans="2:40" ht="23.25" hidden="1" customHeight="1">
      <c r="B80" s="1" t="b">
        <f>AC80&lt;&gt;$AC$80</f>
        <v>0</v>
      </c>
      <c r="D80" s="1">
        <v>37</v>
      </c>
      <c r="I80" s="29" t="str">
        <f>CONCATENATE(AD80,"##",AD81)</f>
        <v>##</v>
      </c>
      <c r="J80" s="442" t="str">
        <f>AC80</f>
        <v>0</v>
      </c>
      <c r="AA80" s="1194" t="s">
        <v>517</v>
      </c>
      <c r="AB80" s="839" t="str">
        <f>$AB$79&amp;"."&amp;AC80</f>
        <v>8(1).0</v>
      </c>
      <c r="AC80" s="1161" t="s">
        <v>578</v>
      </c>
      <c r="AD80" s="475"/>
      <c r="AE80" s="549"/>
      <c r="AF80" s="549"/>
      <c r="AG80" s="549"/>
      <c r="AH80" s="549"/>
      <c r="AI80" s="549"/>
      <c r="AJ80" s="549"/>
      <c r="AK80" s="549"/>
      <c r="AL80" s="549"/>
      <c r="AM80" s="549"/>
      <c r="AN80" t="s">
        <v>539</v>
      </c>
    </row>
    <row r="81" spans="2:41" ht="23.25" hidden="1" customHeight="1">
      <c r="B81" s="1" t="b">
        <f>AC80&lt;&gt;$AC$80</f>
        <v>0</v>
      </c>
      <c r="D81" s="1">
        <v>37</v>
      </c>
      <c r="H81" s="1" t="s">
        <v>2276</v>
      </c>
      <c r="I81" s="1" t="str">
        <f>I80</f>
        <v>##</v>
      </c>
      <c r="J81" s="442" t="str">
        <f>J80</f>
        <v>0</v>
      </c>
      <c r="AA81" s="1194"/>
      <c r="AB81" s="841"/>
      <c r="AC81" s="1163"/>
      <c r="AD81" s="475"/>
      <c r="AE81" s="147">
        <f>IF(AF81=0,0,AG81/AF81*1000)</f>
        <v>0</v>
      </c>
      <c r="AF81" s="86"/>
      <c r="AG81" s="86"/>
      <c r="AH81" s="86"/>
      <c r="AI81" s="86"/>
      <c r="AJ81" s="147">
        <f>IF(AI81=0,0,AH81*AI81/1000)</f>
        <v>0</v>
      </c>
      <c r="AK81" s="86"/>
      <c r="AL81" s="86"/>
      <c r="AM81" s="147">
        <f>IF(AL81=0,0,AK81*AL81/1000)</f>
        <v>0</v>
      </c>
    </row>
    <row r="82" spans="2:41" ht="21.75" customHeight="1">
      <c r="D82" s="1">
        <v>29</v>
      </c>
      <c r="H82" s="1" t="s">
        <v>2276</v>
      </c>
      <c r="AB82" s="552"/>
      <c r="AC82" s="553"/>
      <c r="AD82" s="553" t="s">
        <v>540</v>
      </c>
      <c r="AE82" s="553"/>
      <c r="AF82" s="553"/>
      <c r="AG82" s="553"/>
      <c r="AH82" s="553"/>
      <c r="AI82" s="553"/>
      <c r="AJ82" s="553"/>
      <c r="AK82" s="553"/>
      <c r="AL82" s="553"/>
      <c r="AM82" s="554"/>
    </row>
    <row r="83" spans="2:41" ht="72" customHeight="1">
      <c r="D83" s="1">
        <v>96</v>
      </c>
      <c r="H83" s="1" t="s">
        <v>2277</v>
      </c>
      <c r="AB83" s="83" t="s">
        <v>2278</v>
      </c>
      <c r="AC83" s="83"/>
      <c r="AD83" s="163" t="s">
        <v>2279</v>
      </c>
      <c r="AE83" s="549"/>
      <c r="AF83" s="549"/>
      <c r="AG83" s="89"/>
      <c r="AH83" s="549"/>
      <c r="AI83" s="549"/>
      <c r="AJ83" s="89"/>
      <c r="AK83" s="549"/>
      <c r="AL83" s="549"/>
      <c r="AM83" s="89"/>
    </row>
    <row r="84" spans="2:41" ht="53.25" customHeight="1">
      <c r="D84" s="1">
        <v>71</v>
      </c>
      <c r="H84" s="1" t="s">
        <v>2218</v>
      </c>
      <c r="AB84" s="83" t="s">
        <v>1146</v>
      </c>
      <c r="AC84" s="83"/>
      <c r="AD84" s="163" t="s">
        <v>2280</v>
      </c>
      <c r="AE84" s="549"/>
      <c r="AF84" s="549"/>
      <c r="AG84" s="427">
        <f>AG37+AG41-AG83</f>
        <v>0</v>
      </c>
      <c r="AH84" s="549"/>
      <c r="AI84" s="549"/>
      <c r="AJ84" s="427">
        <f>AJ37+AJ41-AJ83</f>
        <v>0</v>
      </c>
      <c r="AK84" s="549"/>
      <c r="AL84" s="549"/>
      <c r="AM84" s="427">
        <f>AM37+AM41-AM83</f>
        <v>0</v>
      </c>
    </row>
    <row r="85" spans="2:41" ht="11.25" hidden="1" customHeight="1">
      <c r="D85">
        <v>0</v>
      </c>
      <c r="AO85" t="s">
        <v>42</v>
      </c>
    </row>
    <row r="86" spans="2:41" ht="11.25" hidden="1" customHeight="1"/>
    <row r="87" spans="2:41" ht="11.25" hidden="1" customHeight="1"/>
    <row r="88" spans="2:41" ht="11.25" hidden="1" customHeight="1"/>
    <row r="89" spans="2:41" ht="11.25" hidden="1" customHeight="1"/>
    <row r="90" spans="2:41" ht="11.25" hidden="1" customHeight="1"/>
    <row r="91" spans="2:41" ht="11.25" hidden="1" customHeight="1"/>
    <row r="92" spans="2:41" ht="11.25" hidden="1" customHeight="1"/>
    <row r="93" spans="2:41" ht="11.25" hidden="1" customHeight="1"/>
    <row r="94" spans="2:41" ht="11.25" hidden="1" customHeight="1"/>
    <row r="95" spans="2:41" ht="11.25" hidden="1" customHeight="1"/>
    <row r="96" spans="2:41"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row r="117" ht="11.25" hidden="1" customHeight="1"/>
    <row r="118" ht="11.25" hidden="1" customHeight="1"/>
    <row r="119" ht="11.25" hidden="1" customHeight="1"/>
    <row r="120" ht="11.25" hidden="1" customHeight="1"/>
    <row r="121" ht="11.25" hidden="1" customHeight="1"/>
    <row r="122" ht="11.25" hidden="1" customHeight="1"/>
    <row r="123" ht="11.25" hidden="1" customHeight="1"/>
    <row r="124" ht="11.25" hidden="1" customHeight="1"/>
    <row r="125" ht="11.25" hidden="1" customHeight="1"/>
    <row r="126" ht="11.25" hidden="1" customHeight="1"/>
    <row r="127" ht="11.25" hidden="1" customHeight="1"/>
    <row r="128" ht="11.25" hidden="1" customHeight="1"/>
    <row r="129" ht="11.25" hidden="1" customHeight="1"/>
    <row r="130" ht="11.25" hidden="1" customHeight="1"/>
    <row r="131" ht="11.25" hidden="1" customHeight="1"/>
    <row r="132" ht="11.25" hidden="1" customHeight="1"/>
    <row r="133" ht="11.25" hidden="1" customHeight="1"/>
    <row r="134" ht="11.25" hidden="1" customHeight="1"/>
    <row r="135" ht="11.25" hidden="1" customHeight="1"/>
    <row r="136" ht="11.25" hidden="1" customHeight="1"/>
    <row r="137" ht="11.25" hidden="1" customHeight="1"/>
    <row r="138" ht="11.25" hidden="1" customHeight="1"/>
    <row r="139" ht="11.25" hidden="1" customHeight="1"/>
    <row r="140" ht="11.25" hidden="1" customHeight="1"/>
    <row r="141" ht="11.25" hidden="1" customHeight="1"/>
    <row r="142" ht="11.25" hidden="1" customHeight="1"/>
    <row r="143" ht="11.25" hidden="1" customHeight="1"/>
    <row r="144" ht="11.25" hidden="1" customHeight="1"/>
    <row r="145" ht="11.25" hidden="1" customHeight="1"/>
    <row r="146" ht="11.25" hidden="1" customHeight="1"/>
    <row r="147" ht="11.25" hidden="1" customHeight="1"/>
    <row r="148" ht="11.25" hidden="1" customHeight="1"/>
    <row r="149" ht="11.25" hidden="1" customHeight="1"/>
    <row r="150" ht="11.25" hidden="1" customHeight="1"/>
    <row r="151" ht="11.25" hidden="1" customHeight="1"/>
    <row r="152" ht="11.25" hidden="1" customHeight="1"/>
    <row r="153" ht="11.25" hidden="1" customHeight="1"/>
    <row r="154" ht="11.25" hidden="1" customHeight="1"/>
    <row r="155" ht="11.25" hidden="1" customHeight="1"/>
    <row r="156" ht="11.25" hidden="1" customHeight="1"/>
    <row r="157" ht="11.25" hidden="1" customHeight="1"/>
    <row r="158" ht="11.25" hidden="1" customHeight="1"/>
    <row r="159" ht="11.25" hidden="1" customHeight="1"/>
    <row r="160" ht="11.25" hidden="1" customHeight="1"/>
    <row r="161" ht="11.25" hidden="1" customHeight="1"/>
    <row r="162" ht="11.25" hidden="1" customHeight="1"/>
    <row r="163" ht="11.25" hidden="1" customHeight="1"/>
    <row r="164" ht="11.25" hidden="1" customHeight="1"/>
  </sheetData>
  <sheetProtection insertRows="0" deleteColumns="0" deleteRows="0" sort="0" autoFilter="0"/>
  <mergeCells count="30">
    <mergeCell ref="AB21:AM21"/>
    <mergeCell ref="AB22:AM22"/>
    <mergeCell ref="AB23:AM23"/>
    <mergeCell ref="AB24:AM24"/>
    <mergeCell ref="AE34:AG34"/>
    <mergeCell ref="AH34:AJ34"/>
    <mergeCell ref="AK34:AM34"/>
    <mergeCell ref="AB34:AB35"/>
    <mergeCell ref="AD34:AD35"/>
    <mergeCell ref="AB43:AB47"/>
    <mergeCell ref="AB50:AB54"/>
    <mergeCell ref="AA50:AA54"/>
    <mergeCell ref="AB57:AB59"/>
    <mergeCell ref="AA57:AA59"/>
    <mergeCell ref="AB80:AB81"/>
    <mergeCell ref="AA80:AA81"/>
    <mergeCell ref="AA43:AA47"/>
    <mergeCell ref="AC43:AC47"/>
    <mergeCell ref="AC50:AC54"/>
    <mergeCell ref="AC57:AC59"/>
    <mergeCell ref="AC62:AC65"/>
    <mergeCell ref="AC68:AC71"/>
    <mergeCell ref="AC74:AC77"/>
    <mergeCell ref="AC80:AC81"/>
    <mergeCell ref="AB62:AB65"/>
    <mergeCell ref="AA62:AA65"/>
    <mergeCell ref="AB68:AB71"/>
    <mergeCell ref="AA68:AA71"/>
    <mergeCell ref="AB74:AB77"/>
    <mergeCell ref="AA74:AA77"/>
  </mergeCells>
  <dataValidations count="25">
    <dataValidation type="decimal" allowBlank="1" showErrorMessage="1" errorTitle="Ошибка" error="Допускается ввод только неотрицательных чисел!" sqref="AM83 AJ83 AG83 AK38:AL40 AF38:AI40 AE29:AE30 AF47:AI47 AK47:AL47 AF54:AI54 AK54:AL54 AF59:AI59 AK59:AL59 AF65:AI65 AK65:AL65 AF71:AI71 AK71:AL71 AF77:AI77 AK77:AL77 AF81:AI81 AK81:AL81" xr:uid="{00000000-0002-0000-3C00-000000000000}">
      <formula1>0</formula1>
      <formula2>9.99999999999999E+23</formula2>
    </dataValidation>
    <dataValidation type="list" allowBlank="1" showInputMessage="1" showErrorMessage="1" errorTitle="Ошибка" error="Допускается ввод не более 900 символов!" sqref="AD43" xr:uid="{00000000-0002-0000-3C00-000001000000}">
      <formula1>TYPE_OPOR</formula1>
    </dataValidation>
    <dataValidation type="list" allowBlank="1" showInputMessage="1" showErrorMessage="1" errorTitle="Ошибка" error="Допускается ввод не более 900 символов!" sqref="AD44" xr:uid="{00000000-0002-0000-3C00-000002000000}">
      <formula1>TYPE_PROVODA</formula1>
    </dataValidation>
    <dataValidation type="list" allowBlank="1" showInputMessage="1" showErrorMessage="1" errorTitle="Ошибка" error="Допускается ввод не более 900 символов!" sqref="AD45" xr:uid="{00000000-0002-0000-3C00-000003000000}">
      <formula1>PROVOD</formula1>
    </dataValidation>
    <dataValidation type="list" allowBlank="1" showInputMessage="1" showErrorMessage="1" errorTitle="Ошибка" error="Допускается ввод не более 900 символов!" sqref="AD46" xr:uid="{00000000-0002-0000-3C00-000004000000}">
      <formula1>SECHENIE_PROVOD</formula1>
    </dataValidation>
    <dataValidation type="list" allowBlank="1" showInputMessage="1" showErrorMessage="1" errorTitle="Ошибка" error="Допускается ввод не более 900 символов!" sqref="AD47" xr:uid="{00000000-0002-0000-3C00-000005000000}">
      <formula1>KOL_CEPEY</formula1>
    </dataValidation>
    <dataValidation type="list" allowBlank="1" showInputMessage="1" showErrorMessage="1" errorTitle="Ошибка" error="Допускается ввод не более 900 символов!" sqref="AD50" xr:uid="{00000000-0002-0000-3C00-000006000000}">
      <formula1>SPOSOB_PROKLADKI</formula1>
    </dataValidation>
    <dataValidation type="list" allowBlank="1" showInputMessage="1" showErrorMessage="1" errorTitle="Ошибка" error="Допускается ввод не более 900 символов!" sqref="AD51" xr:uid="{00000000-0002-0000-3C00-000007000000}">
      <formula1>TYPE_PROVOD_KL</formula1>
    </dataValidation>
    <dataValidation type="list" allowBlank="1" showInputMessage="1" showErrorMessage="1" errorTitle="Ошибка" error="Допускается ввод не более 900 символов!" sqref="AD52" xr:uid="{00000000-0002-0000-3C00-000008000000}">
      <formula1>TYPE_IZOL</formula1>
    </dataValidation>
    <dataValidation type="list" allowBlank="1" showInputMessage="1" showErrorMessage="1" errorTitle="Ошибка" error="Допускается ввод не более 900 символов!" sqref="AD53" xr:uid="{00000000-0002-0000-3C00-000009000000}">
      <formula1>SECHENIE_PROVOD_KL</formula1>
    </dataValidation>
    <dataValidation type="list" allowBlank="1" showInputMessage="1" showErrorMessage="1" errorTitle="Ошибка" error="Допускается ввод не более 900 символов!" sqref="AD54" xr:uid="{00000000-0002-0000-3C00-00000A000000}">
      <formula1>KOL_KAB</formula1>
    </dataValidation>
    <dataValidation type="list" allowBlank="1" showInputMessage="1" showErrorMessage="1" errorTitle="Ошибка" error="Допускается ввод не более 900 символов!" sqref="AD57" xr:uid="{00000000-0002-0000-3C00-00000B000000}">
      <formula1>TYPE_OBOR</formula1>
    </dataValidation>
    <dataValidation type="list" allowBlank="1" showInputMessage="1" showErrorMessage="1" errorTitle="Ошибка" error="Допускается ввод не более 900 символов!" sqref="AD58" xr:uid="{00000000-0002-0000-3C00-00000C000000}">
      <formula1>TOK</formula1>
    </dataValidation>
    <dataValidation type="list" allowBlank="1" showInputMessage="1" showErrorMessage="1" errorTitle="Ошибка" error="Допускается ввод не более 900 символов!" sqref="AD59" xr:uid="{00000000-0002-0000-3C00-00000D000000}">
      <formula1>KOL_YACHEEK</formula1>
    </dataValidation>
    <dataValidation type="list" allowBlank="1" showInputMessage="1" showErrorMessage="1" errorTitle="Ошибка" error="Допускается ввод не более 900 символов!" sqref="AD62" xr:uid="{00000000-0002-0000-3C00-00000E000000}">
      <formula1>napr_tr_C6</formula1>
    </dataValidation>
    <dataValidation type="list" allowBlank="1" showInputMessage="1" showErrorMessage="1" errorTitle="Ошибка" error="Допускается ввод не более 900 символов!" sqref="AD63 AD69 AD75" xr:uid="{00000000-0002-0000-3C00-00000F000000}">
      <formula1>KOL_TR</formula1>
    </dataValidation>
    <dataValidation type="list" allowBlank="1" showInputMessage="1" showErrorMessage="1" errorTitle="Ошибка" error="Допускается ввод не более 900 символов!" sqref="AD64" xr:uid="{00000000-0002-0000-3C00-000010000000}">
      <formula1>tr_power_С6</formula1>
    </dataValidation>
    <dataValidation type="list" allowBlank="1" showInputMessage="1" showErrorMessage="1" errorTitle="Ошибка" error="Допускается ввод не более 900 символов!" sqref="AD65" xr:uid="{00000000-0002-0000-3C00-000011000000}">
      <formula1>TYPE_С6</formula1>
    </dataValidation>
    <dataValidation type="list" allowBlank="1" showInputMessage="1" showErrorMessage="1" errorTitle="Ошибка" error="Допускается ввод не более 900 символов!" sqref="AD70" xr:uid="{00000000-0002-0000-3C00-000012000000}">
      <formula1>tr_power_С7</formula1>
    </dataValidation>
    <dataValidation type="list" allowBlank="1" showInputMessage="1" showErrorMessage="1" errorTitle="Ошибка" error="Допускается ввод не более 900 символов!" sqref="AD71 AD77" xr:uid="{00000000-0002-0000-3C00-000013000000}">
      <formula1>TYPE_С7</formula1>
    </dataValidation>
    <dataValidation type="list" allowBlank="1" showInputMessage="1" showErrorMessage="1" errorTitle="Ошибка" error="Допускается ввод не более 900 символов!" sqref="AD68" xr:uid="{00000000-0002-0000-3C00-000014000000}">
      <formula1>napr_tr_C7</formula1>
    </dataValidation>
    <dataValidation type="list" allowBlank="1" showInputMessage="1" showErrorMessage="1" errorTitle="Ошибка" error="Допускается ввод не более 900 символов!" sqref="AD74" xr:uid="{00000000-0002-0000-3C00-000015000000}">
      <formula1>napr_tr_C8</formula1>
    </dataValidation>
    <dataValidation type="list" allowBlank="1" showInputMessage="1" showErrorMessage="1" errorTitle="Ошибка" error="Допускается ввод не более 900 символов!" sqref="AD76" xr:uid="{00000000-0002-0000-3C00-000016000000}">
      <formula1>tr_power_С8</formula1>
    </dataValidation>
    <dataValidation type="list" allowBlank="1" showInputMessage="1" showErrorMessage="1" errorTitle="Ошибка" error="Допускается ввод не более 900 символов!" sqref="AD80" xr:uid="{00000000-0002-0000-3C00-000017000000}">
      <formula1>TYPE_С8.1</formula1>
    </dataValidation>
    <dataValidation type="list" allowBlank="1" showInputMessage="1" showErrorMessage="1" errorTitle="Ошибка" error="Допускается ввод не более 900 символов!" sqref="AD81" xr:uid="{00000000-0002-0000-3C00-000018000000}">
      <formula1>TYPE2_С8.1</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O84"/>
  <sheetViews>
    <sheetView showGridLines="0" topLeftCell="AA20" workbookViewId="0">
      <selection activeCell="AA20" sqref="AA20"/>
    </sheetView>
  </sheetViews>
  <sheetFormatPr defaultRowHeight="11.25" customHeight="1"/>
  <cols>
    <col min="1" max="1" width="9.140625" hidden="1"/>
    <col min="2" max="2" width="5.42578125" hidden="1" customWidth="1"/>
    <col min="3" max="3" width="9.140625" hidden="1"/>
    <col min="4" max="4" width="3.28515625" hidden="1" customWidth="1"/>
    <col min="5" max="6" width="9.140625" hidden="1"/>
    <col min="7" max="10" width="12" hidden="1" customWidth="1"/>
    <col min="11" max="26" width="9.140625" hidden="1"/>
    <col min="27" max="27" width="6.85546875" customWidth="1"/>
    <col min="29" max="29" width="9.140625" hidden="1"/>
    <col min="30" max="30" width="70.85546875" customWidth="1"/>
    <col min="31" max="39" width="28.5703125" customWidth="1"/>
    <col min="40" max="41" width="9.140625" hidden="1"/>
  </cols>
  <sheetData>
    <row r="1" spans="4:41" ht="15.75" hidden="1" customHeight="1">
      <c r="AA1" s="40" t="s">
        <v>520</v>
      </c>
      <c r="AC1" s="40" t="s">
        <v>521</v>
      </c>
      <c r="AD1" s="40" t="s">
        <v>522</v>
      </c>
      <c r="AN1" t="s">
        <v>523</v>
      </c>
    </row>
    <row r="2" spans="4:41" ht="11.25" hidden="1" customHeight="1"/>
    <row r="3" spans="4:41" ht="11.25" hidden="1" customHeight="1"/>
    <row r="4" spans="4:41" ht="15.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64</v>
      </c>
      <c r="AC4" s="1">
        <v>0</v>
      </c>
      <c r="AD4" s="1">
        <v>496</v>
      </c>
      <c r="AE4" s="1">
        <v>200</v>
      </c>
      <c r="AF4" s="1">
        <v>200</v>
      </c>
      <c r="AG4" s="1">
        <v>200</v>
      </c>
      <c r="AH4" s="1">
        <v>200</v>
      </c>
      <c r="AI4" s="1">
        <v>200</v>
      </c>
      <c r="AJ4" s="1">
        <v>200</v>
      </c>
      <c r="AK4" s="1">
        <v>200</v>
      </c>
      <c r="AL4" s="1">
        <v>200</v>
      </c>
      <c r="AM4" s="1">
        <v>200</v>
      </c>
      <c r="AN4">
        <v>0</v>
      </c>
      <c r="AO4">
        <v>0</v>
      </c>
    </row>
    <row r="5" spans="4:41" ht="11.25" hidden="1" customHeight="1">
      <c r="D5" s="1">
        <v>40</v>
      </c>
      <c r="E5" s="40" t="s">
        <v>524</v>
      </c>
    </row>
    <row r="6" spans="4:41" ht="11.25" hidden="1" customHeight="1">
      <c r="D6" s="1">
        <v>40</v>
      </c>
      <c r="F6" s="1" t="s">
        <v>319</v>
      </c>
      <c r="G6" s="15" t="s">
        <v>320</v>
      </c>
      <c r="H6" s="15" t="s">
        <v>321</v>
      </c>
      <c r="I6" s="15" t="s">
        <v>322</v>
      </c>
      <c r="J6" t="s">
        <v>546</v>
      </c>
    </row>
    <row r="7" spans="4:41" ht="11.25" hidden="1" customHeight="1">
      <c r="D7" s="1">
        <v>40</v>
      </c>
      <c r="G7" s="1" t="s">
        <v>580</v>
      </c>
      <c r="H7" s="2" t="s">
        <v>546</v>
      </c>
      <c r="I7" s="2" t="s">
        <v>544</v>
      </c>
      <c r="J7" s="2" t="s">
        <v>545</v>
      </c>
    </row>
    <row r="8" spans="4:41" ht="11.25" hidden="1" customHeight="1">
      <c r="D8" s="1">
        <v>40</v>
      </c>
      <c r="G8" s="15" t="s">
        <v>320</v>
      </c>
    </row>
    <row r="9" spans="4:41" ht="11.25" hidden="1" customHeight="1">
      <c r="D9" s="1">
        <v>40</v>
      </c>
      <c r="G9" s="15" t="s">
        <v>321</v>
      </c>
    </row>
    <row r="10" spans="4:41" ht="11.25" hidden="1" customHeight="1">
      <c r="D10" s="1">
        <v>40</v>
      </c>
      <c r="G10" s="15" t="s">
        <v>322</v>
      </c>
    </row>
    <row r="11" spans="4:41" ht="11.25" hidden="1" customHeight="1">
      <c r="G11" s="1" t="s">
        <v>579</v>
      </c>
    </row>
    <row r="12" spans="4:41" ht="11.25" hidden="1" customHeight="1">
      <c r="F12" s="1" t="s">
        <v>1957</v>
      </c>
      <c r="G12" s="1" t="s">
        <v>1957</v>
      </c>
      <c r="AE12" s="1">
        <v>150</v>
      </c>
    </row>
    <row r="13" spans="4:41" ht="11.25" hidden="1" customHeight="1"/>
    <row r="14" spans="4:41" ht="11.25" hidden="1" customHeight="1"/>
    <row r="15" spans="4:41" ht="11.25" hidden="1" customHeight="1"/>
    <row r="16" spans="4:41" ht="11.25" hidden="1" customHeight="1"/>
    <row r="17" spans="4:39" ht="11.25" hidden="1" customHeight="1"/>
    <row r="18" spans="4:39" ht="11.25" hidden="1" customHeight="1"/>
    <row r="19" spans="4:39" ht="11.25" hidden="1" customHeight="1"/>
    <row r="20" spans="4:39" ht="30" customHeight="1">
      <c r="D20" s="1">
        <v>40</v>
      </c>
    </row>
    <row r="21" spans="4:39" ht="30" customHeight="1">
      <c r="D21" s="1">
        <v>40</v>
      </c>
      <c r="AB21" s="1195" t="s">
        <v>2139</v>
      </c>
      <c r="AC21" s="781"/>
      <c r="AD21" s="781"/>
      <c r="AE21" s="781"/>
      <c r="AF21" s="781"/>
      <c r="AG21" s="781"/>
      <c r="AH21" s="781"/>
      <c r="AI21" s="781"/>
      <c r="AJ21" s="781"/>
      <c r="AK21" s="781"/>
      <c r="AL21" s="781"/>
      <c r="AM21" s="781"/>
    </row>
    <row r="22" spans="4:39" ht="30" customHeight="1">
      <c r="D22" s="1">
        <v>40</v>
      </c>
      <c r="AB22" s="1195" t="s">
        <v>2281</v>
      </c>
      <c r="AC22" s="781"/>
      <c r="AD22" s="781"/>
      <c r="AE22" s="781"/>
      <c r="AF22" s="781"/>
      <c r="AG22" s="781"/>
      <c r="AH22" s="781"/>
      <c r="AI22" s="781"/>
      <c r="AJ22" s="781"/>
      <c r="AK22" s="781"/>
      <c r="AL22" s="781"/>
      <c r="AM22" s="781"/>
    </row>
    <row r="23" spans="4:39" ht="30" customHeight="1">
      <c r="D23" s="1">
        <v>40</v>
      </c>
      <c r="AB23" s="1195" t="s">
        <v>2282</v>
      </c>
      <c r="AC23" s="781"/>
      <c r="AD23" s="781"/>
      <c r="AE23" s="781"/>
      <c r="AF23" s="781"/>
      <c r="AG23" s="781"/>
      <c r="AH23" s="781"/>
      <c r="AI23" s="781"/>
      <c r="AJ23" s="781"/>
      <c r="AK23" s="781"/>
      <c r="AL23" s="781"/>
      <c r="AM23" s="781"/>
    </row>
    <row r="24" spans="4:39" ht="30" customHeight="1">
      <c r="D24" s="1">
        <v>40</v>
      </c>
      <c r="AB24" s="1195" t="s">
        <v>2283</v>
      </c>
      <c r="AC24" s="781"/>
      <c r="AD24" s="781"/>
      <c r="AE24" s="781"/>
      <c r="AF24" s="781"/>
      <c r="AG24" s="781"/>
      <c r="AH24" s="781"/>
      <c r="AI24" s="781"/>
      <c r="AJ24" s="781"/>
      <c r="AK24" s="781"/>
      <c r="AL24" s="781"/>
      <c r="AM24" s="781"/>
    </row>
    <row r="25" spans="4:39" ht="30" customHeight="1">
      <c r="D25" s="1">
        <v>40</v>
      </c>
    </row>
    <row r="26" spans="4:39" ht="30" customHeight="1">
      <c r="D26" s="1">
        <v>40</v>
      </c>
      <c r="G26" s="1" t="s">
        <v>1955</v>
      </c>
      <c r="H26" s="1" t="s">
        <v>2221</v>
      </c>
      <c r="I26" s="1" t="s">
        <v>617</v>
      </c>
      <c r="J26" s="1" t="s">
        <v>2226</v>
      </c>
      <c r="AD26" s="163" t="s">
        <v>2227</v>
      </c>
      <c r="AE26" s="89">
        <f>MIN(AG37,AJ37)</f>
        <v>0</v>
      </c>
    </row>
    <row r="27" spans="4:39" ht="30" customHeight="1">
      <c r="D27" s="1">
        <v>40</v>
      </c>
      <c r="G27" s="1" t="s">
        <v>2219</v>
      </c>
      <c r="H27" s="1" t="s">
        <v>2228</v>
      </c>
      <c r="I27" s="1" t="s">
        <v>617</v>
      </c>
      <c r="J27" s="1" t="s">
        <v>2229</v>
      </c>
      <c r="AD27" s="163" t="str">
        <f>"Установленные выпадающие доходы на "&amp;PRD-2&amp;" год"</f>
        <v>Установленные выпадающие доходы на 2024 год</v>
      </c>
      <c r="AE27" s="89"/>
    </row>
    <row r="28" spans="4:39" ht="30" customHeight="1">
      <c r="D28" s="1">
        <v>40</v>
      </c>
      <c r="G28" s="1" t="s">
        <v>1955</v>
      </c>
      <c r="H28" s="1" t="s">
        <v>2221</v>
      </c>
      <c r="I28" s="1" t="s">
        <v>617</v>
      </c>
      <c r="J28" s="1" t="s">
        <v>2230</v>
      </c>
      <c r="AD28" s="163" t="str">
        <f>"Невозмещённые расходы за "&amp;PRD-2&amp;" год (превышение фактических затрат по сравнению с полученной компенсацией)"</f>
        <v>Невозмещённые расходы за 2024 год (превышение фактических затрат по сравнению с полученной компенсацией)</v>
      </c>
      <c r="AE28" s="89">
        <f>AE26-AE27</f>
        <v>0</v>
      </c>
    </row>
    <row r="29" spans="4:39" ht="18" customHeight="1">
      <c r="D29" s="1">
        <v>24</v>
      </c>
      <c r="G29" s="1" t="s">
        <v>873</v>
      </c>
      <c r="H29" s="1" t="s">
        <v>874</v>
      </c>
      <c r="I29" s="1" t="s">
        <v>617</v>
      </c>
      <c r="J29" s="1" t="s">
        <v>2231</v>
      </c>
      <c r="AD29" s="163" t="str">
        <f>"ИПЦ "&amp;PRD-2&amp;"/"&amp;PRD-1</f>
        <v>ИПЦ 2024/2025</v>
      </c>
      <c r="AE29" s="162"/>
    </row>
    <row r="30" spans="4:39" ht="31.5" customHeight="1">
      <c r="D30" s="1">
        <v>42</v>
      </c>
      <c r="G30" s="1" t="s">
        <v>873</v>
      </c>
      <c r="H30" s="1" t="s">
        <v>874</v>
      </c>
      <c r="I30" s="1" t="s">
        <v>617</v>
      </c>
      <c r="J30" s="1" t="s">
        <v>2232</v>
      </c>
      <c r="AD30" s="163" t="str">
        <f>"ИПЦ "&amp;PRD-1&amp;"/"&amp;PRD</f>
        <v>ИПЦ 2025/2026</v>
      </c>
      <c r="AE30" s="162"/>
    </row>
    <row r="31" spans="4:39" ht="31.5" customHeight="1">
      <c r="D31" s="1">
        <v>42</v>
      </c>
      <c r="G31" s="1" t="s">
        <v>1955</v>
      </c>
      <c r="H31" s="1" t="s">
        <v>2221</v>
      </c>
      <c r="I31" s="1" t="s">
        <v>617</v>
      </c>
      <c r="J31" s="1" t="s">
        <v>2233</v>
      </c>
      <c r="AD31" s="163" t="s">
        <v>2234</v>
      </c>
      <c r="AE31" s="89">
        <f>AE28*(1+AE29)*(1+AE30)</f>
        <v>0</v>
      </c>
    </row>
    <row r="32" spans="4:39" ht="31.5" customHeight="1">
      <c r="D32" s="1">
        <v>42</v>
      </c>
      <c r="G32" s="1" t="s">
        <v>2219</v>
      </c>
      <c r="H32" s="1" t="s">
        <v>2228</v>
      </c>
      <c r="I32" s="1" t="s">
        <v>617</v>
      </c>
      <c r="J32" s="1" t="s">
        <v>2235</v>
      </c>
      <c r="AD32" s="163" t="str">
        <f>"Выпадающие доходы планируемые на период регулирования "&amp;PRD&amp;" г."</f>
        <v>Выпадающие доходы планируемые на период регулирования 2026 г.</v>
      </c>
      <c r="AE32" s="89">
        <f>AE31+AM37</f>
        <v>0</v>
      </c>
    </row>
    <row r="33" spans="2:40" ht="15" customHeight="1">
      <c r="D33" s="1">
        <v>20</v>
      </c>
    </row>
    <row r="34" spans="2:40" ht="42" customHeight="1">
      <c r="D34" s="1">
        <v>56</v>
      </c>
      <c r="AB34" s="1199" t="s">
        <v>509</v>
      </c>
      <c r="AC34" s="264"/>
      <c r="AD34" s="1196" t="s">
        <v>526</v>
      </c>
      <c r="AE34" s="1196" t="s">
        <v>2236</v>
      </c>
      <c r="AF34" s="1196"/>
      <c r="AG34" s="1196"/>
      <c r="AH34" s="1196" t="s">
        <v>2284</v>
      </c>
      <c r="AI34" s="1196"/>
      <c r="AJ34" s="1196"/>
      <c r="AK34" s="1196" t="s">
        <v>2285</v>
      </c>
      <c r="AL34" s="1196"/>
      <c r="AM34" s="1196"/>
    </row>
    <row r="35" spans="2:40" ht="95.25" customHeight="1">
      <c r="D35" s="1">
        <v>127</v>
      </c>
      <c r="AB35" s="1200"/>
      <c r="AC35" s="264"/>
      <c r="AD35" s="1196"/>
      <c r="AE35" s="264" t="s">
        <v>2239</v>
      </c>
      <c r="AF35" s="264" t="s">
        <v>2240</v>
      </c>
      <c r="AG35" s="264" t="s">
        <v>2241</v>
      </c>
      <c r="AH35" s="264" t="s">
        <v>2242</v>
      </c>
      <c r="AI35" s="264" t="s">
        <v>2240</v>
      </c>
      <c r="AJ35" s="264" t="s">
        <v>2241</v>
      </c>
      <c r="AK35" s="264" t="s">
        <v>2242</v>
      </c>
      <c r="AL35" s="264" t="s">
        <v>2240</v>
      </c>
      <c r="AM35" s="264" t="s">
        <v>2241</v>
      </c>
    </row>
    <row r="36" spans="2:40" ht="13.5" customHeight="1">
      <c r="D36" s="1">
        <v>18</v>
      </c>
      <c r="AB36" s="264">
        <v>1</v>
      </c>
      <c r="AC36" s="264"/>
      <c r="AD36" s="264">
        <v>2</v>
      </c>
      <c r="AE36" s="264">
        <v>3</v>
      </c>
      <c r="AF36" s="264">
        <v>4</v>
      </c>
      <c r="AG36" s="264">
        <v>5</v>
      </c>
      <c r="AH36" s="264">
        <v>6</v>
      </c>
      <c r="AI36" s="264">
        <v>7</v>
      </c>
      <c r="AJ36" s="264">
        <v>8</v>
      </c>
      <c r="AK36" s="264">
        <v>9</v>
      </c>
      <c r="AL36" s="264">
        <v>10</v>
      </c>
      <c r="AM36" s="264">
        <v>11</v>
      </c>
    </row>
    <row r="37" spans="2:40" ht="54" customHeight="1">
      <c r="D37" s="1">
        <v>72</v>
      </c>
      <c r="H37" s="1" t="s">
        <v>2253</v>
      </c>
      <c r="I37" s="63" t="s">
        <v>547</v>
      </c>
      <c r="J37" s="63" t="s">
        <v>547</v>
      </c>
      <c r="AB37" s="83" t="s">
        <v>2286</v>
      </c>
      <c r="AC37" s="83"/>
      <c r="AD37" s="224" t="s">
        <v>2287</v>
      </c>
      <c r="AE37" s="225"/>
      <c r="AF37" s="225"/>
      <c r="AG37" s="427">
        <f>AG38+AG45+AG52+AG57+AG63+AG69</f>
        <v>0</v>
      </c>
      <c r="AH37" s="225"/>
      <c r="AI37" s="225"/>
      <c r="AJ37" s="427">
        <f>AJ38+AJ45+AJ52+AJ57+AJ63+AJ69</f>
        <v>0</v>
      </c>
      <c r="AK37" s="225"/>
      <c r="AL37" s="225"/>
      <c r="AM37" s="427">
        <f>AM38+AM45+AM52+AM57+AM63+AM69</f>
        <v>0</v>
      </c>
    </row>
    <row r="38" spans="2:40" ht="33" customHeight="1">
      <c r="D38" s="1">
        <v>44</v>
      </c>
      <c r="H38" s="1" t="s">
        <v>2255</v>
      </c>
      <c r="I38" s="63" t="s">
        <v>547</v>
      </c>
      <c r="J38" s="63" t="s">
        <v>547</v>
      </c>
      <c r="AB38" s="83" t="s">
        <v>2288</v>
      </c>
      <c r="AC38" s="83"/>
      <c r="AD38" s="224" t="s">
        <v>2256</v>
      </c>
      <c r="AE38" s="549"/>
      <c r="AF38" s="549"/>
      <c r="AG38" s="427">
        <f>SUM(AG39:AG44)</f>
        <v>0</v>
      </c>
      <c r="AH38" s="549"/>
      <c r="AI38" s="549"/>
      <c r="AJ38" s="427">
        <f>SUM(AJ39:AJ44)</f>
        <v>0</v>
      </c>
      <c r="AK38" s="549"/>
      <c r="AL38" s="549"/>
      <c r="AM38" s="427">
        <f>SUM(AM39:AM44)</f>
        <v>0</v>
      </c>
    </row>
    <row r="39" spans="2:40" ht="23.25" hidden="1" customHeight="1">
      <c r="B39" s="1" t="b">
        <f>AC39&lt;&gt;$AC$39</f>
        <v>0</v>
      </c>
      <c r="D39" s="1">
        <v>37</v>
      </c>
      <c r="I39" s="29" t="str">
        <f>CONCATENATE(AD39,"##",AD40,"##",AD41,"##",AD42,"##",AD43)</f>
        <v>########</v>
      </c>
      <c r="J39" s="442" t="str">
        <f>AC39</f>
        <v>0</v>
      </c>
      <c r="AA39" s="1194" t="s">
        <v>517</v>
      </c>
      <c r="AB39" s="836" t="str">
        <f>$AB$38&amp;AC39</f>
        <v>2.0</v>
      </c>
      <c r="AC39" s="1161" t="s">
        <v>578</v>
      </c>
      <c r="AD39" s="475"/>
      <c r="AE39" s="549"/>
      <c r="AF39" s="549"/>
      <c r="AG39" s="549"/>
      <c r="AH39" s="549"/>
      <c r="AI39" s="549"/>
      <c r="AJ39" s="549"/>
      <c r="AK39" s="549"/>
      <c r="AL39" s="549"/>
      <c r="AM39" s="549"/>
      <c r="AN39" s="2" t="s">
        <v>539</v>
      </c>
    </row>
    <row r="40" spans="2:40" ht="23.25" hidden="1" customHeight="1">
      <c r="B40" s="1" t="b">
        <f>AC39&lt;&gt;$AC$39</f>
        <v>0</v>
      </c>
      <c r="D40" s="1">
        <v>37</v>
      </c>
      <c r="I40" s="1" t="str">
        <f>I39</f>
        <v>########</v>
      </c>
      <c r="J40" s="442" t="str">
        <f>J39</f>
        <v>0</v>
      </c>
      <c r="AA40" s="1194"/>
      <c r="AB40" s="837"/>
      <c r="AC40" s="1162"/>
      <c r="AD40" s="475"/>
      <c r="AE40" s="549"/>
      <c r="AF40" s="549"/>
      <c r="AG40" s="549"/>
      <c r="AH40" s="549"/>
      <c r="AI40" s="549"/>
      <c r="AJ40" s="549"/>
      <c r="AK40" s="549"/>
      <c r="AL40" s="549"/>
      <c r="AM40" s="549"/>
    </row>
    <row r="41" spans="2:40" ht="23.25" hidden="1" customHeight="1">
      <c r="B41" s="1" t="b">
        <f>AC39&lt;&gt;$AC$39</f>
        <v>0</v>
      </c>
      <c r="D41" s="1">
        <v>37</v>
      </c>
      <c r="I41" s="1" t="str">
        <f>I39</f>
        <v>########</v>
      </c>
      <c r="J41" s="442" t="str">
        <f>J39</f>
        <v>0</v>
      </c>
      <c r="AA41" s="1194"/>
      <c r="AB41" s="837"/>
      <c r="AC41" s="1162"/>
      <c r="AD41" s="475"/>
      <c r="AE41" s="549"/>
      <c r="AF41" s="549"/>
      <c r="AG41" s="549"/>
      <c r="AH41" s="549"/>
      <c r="AI41" s="549"/>
      <c r="AJ41" s="549"/>
      <c r="AK41" s="549"/>
      <c r="AL41" s="549"/>
      <c r="AM41" s="549"/>
    </row>
    <row r="42" spans="2:40" ht="23.25" hidden="1" customHeight="1">
      <c r="B42" s="1" t="b">
        <f>AC39&lt;&gt;$AC$39</f>
        <v>0</v>
      </c>
      <c r="D42" s="1">
        <v>37</v>
      </c>
      <c r="I42" s="1" t="str">
        <f>I39</f>
        <v>########</v>
      </c>
      <c r="J42" s="442" t="str">
        <f>J39</f>
        <v>0</v>
      </c>
      <c r="AA42" s="1194"/>
      <c r="AB42" s="837"/>
      <c r="AC42" s="1162"/>
      <c r="AD42" s="475"/>
      <c r="AE42" s="549"/>
      <c r="AF42" s="549"/>
      <c r="AG42" s="549"/>
      <c r="AH42" s="549"/>
      <c r="AI42" s="549"/>
      <c r="AJ42" s="549"/>
      <c r="AK42" s="549"/>
      <c r="AL42" s="549"/>
      <c r="AM42" s="549"/>
    </row>
    <row r="43" spans="2:40" ht="23.25" hidden="1" customHeight="1">
      <c r="B43" s="1" t="b">
        <f>AC39&lt;&gt;$AC$39</f>
        <v>0</v>
      </c>
      <c r="D43" s="1">
        <v>37</v>
      </c>
      <c r="H43" s="1" t="s">
        <v>2257</v>
      </c>
      <c r="I43" s="1" t="str">
        <f>I39</f>
        <v>########</v>
      </c>
      <c r="J43" s="442" t="str">
        <f>J39</f>
        <v>0</v>
      </c>
      <c r="AA43" s="1194"/>
      <c r="AB43" s="838"/>
      <c r="AC43" s="1163"/>
      <c r="AD43" s="475"/>
      <c r="AE43" s="147">
        <f>IF(AF43=0,0,AG43/AF43*1000)</f>
        <v>0</v>
      </c>
      <c r="AF43" s="86"/>
      <c r="AG43" s="86"/>
      <c r="AH43" s="86"/>
      <c r="AI43" s="86"/>
      <c r="AJ43" s="147">
        <f>IF(AI43=0,0,AH43*AI43/1000)</f>
        <v>0</v>
      </c>
      <c r="AK43" s="86"/>
      <c r="AL43" s="86"/>
      <c r="AM43" s="147">
        <f>IF(AL43=0,0,AK43*AL43/1000)</f>
        <v>0</v>
      </c>
    </row>
    <row r="44" spans="2:40" ht="21.75" customHeight="1">
      <c r="D44" s="1">
        <v>29</v>
      </c>
      <c r="H44" s="1" t="s">
        <v>2257</v>
      </c>
      <c r="AB44" s="152"/>
      <c r="AC44" s="151"/>
      <c r="AD44" s="151" t="s">
        <v>540</v>
      </c>
      <c r="AE44" s="151"/>
      <c r="AF44" s="151"/>
      <c r="AG44" s="151"/>
      <c r="AH44" s="151"/>
      <c r="AI44" s="151"/>
      <c r="AJ44" s="151"/>
      <c r="AK44" s="151"/>
      <c r="AL44" s="151"/>
      <c r="AM44" s="555"/>
    </row>
    <row r="45" spans="2:40" ht="31.5" customHeight="1">
      <c r="D45" s="1">
        <v>42</v>
      </c>
      <c r="H45" s="1" t="s">
        <v>2258</v>
      </c>
      <c r="I45" s="63" t="s">
        <v>547</v>
      </c>
      <c r="J45" s="63" t="s">
        <v>547</v>
      </c>
      <c r="AB45" s="83" t="s">
        <v>1127</v>
      </c>
      <c r="AC45" s="83"/>
      <c r="AD45" s="224" t="s">
        <v>2259</v>
      </c>
      <c r="AE45" s="549"/>
      <c r="AF45" s="549"/>
      <c r="AG45" s="427">
        <f>SUM(AG46:AG51)</f>
        <v>0</v>
      </c>
      <c r="AH45" s="549"/>
      <c r="AI45" s="549"/>
      <c r="AJ45" s="427">
        <f>SUM(AJ46:AJ51)</f>
        <v>0</v>
      </c>
      <c r="AK45" s="549"/>
      <c r="AL45" s="549"/>
      <c r="AM45" s="427">
        <f>SUM(AM46:AM51)</f>
        <v>0</v>
      </c>
    </row>
    <row r="46" spans="2:40" ht="23.25" hidden="1" customHeight="1">
      <c r="B46" s="1" t="b">
        <f>AC46&lt;&gt;$AC$46</f>
        <v>0</v>
      </c>
      <c r="D46" s="1">
        <v>37</v>
      </c>
      <c r="I46" s="29" t="str">
        <f>CONCATENATE(AD46,"##",AD47,"##",AD48,"##",AD49,"##",AD50)</f>
        <v>########</v>
      </c>
      <c r="J46" s="442" t="str">
        <f>AC46</f>
        <v>0</v>
      </c>
      <c r="AA46" s="1194" t="s">
        <v>517</v>
      </c>
      <c r="AB46" s="836" t="str">
        <f>AB45&amp;AC46</f>
        <v>3.0</v>
      </c>
      <c r="AC46" s="1161" t="s">
        <v>578</v>
      </c>
      <c r="AD46" s="475"/>
      <c r="AE46" s="549"/>
      <c r="AF46" s="549"/>
      <c r="AG46" s="549"/>
      <c r="AH46" s="549"/>
      <c r="AI46" s="549"/>
      <c r="AJ46" s="549"/>
      <c r="AK46" s="549"/>
      <c r="AL46" s="549"/>
      <c r="AM46" s="549"/>
      <c r="AN46" t="s">
        <v>539</v>
      </c>
    </row>
    <row r="47" spans="2:40" ht="23.25" hidden="1" customHeight="1">
      <c r="B47" s="1" t="b">
        <f>AC46&lt;&gt;$AC$46</f>
        <v>0</v>
      </c>
      <c r="D47" s="1">
        <v>37</v>
      </c>
      <c r="I47" s="1" t="str">
        <f>I46</f>
        <v>########</v>
      </c>
      <c r="J47" s="442" t="str">
        <f>J46</f>
        <v>0</v>
      </c>
      <c r="AA47" s="1194"/>
      <c r="AB47" s="837"/>
      <c r="AC47" s="1162"/>
      <c r="AD47" s="475"/>
      <c r="AE47" s="549"/>
      <c r="AF47" s="549"/>
      <c r="AG47" s="549"/>
      <c r="AH47" s="549"/>
      <c r="AI47" s="549"/>
      <c r="AJ47" s="549"/>
      <c r="AK47" s="549"/>
      <c r="AL47" s="549"/>
      <c r="AM47" s="549"/>
    </row>
    <row r="48" spans="2:40" ht="23.25" hidden="1" customHeight="1">
      <c r="B48" s="1" t="b">
        <f>AC46&lt;&gt;$AC$46</f>
        <v>0</v>
      </c>
      <c r="D48" s="1">
        <v>37</v>
      </c>
      <c r="I48" s="1" t="str">
        <f>I46</f>
        <v>########</v>
      </c>
      <c r="J48" s="442" t="str">
        <f>J46</f>
        <v>0</v>
      </c>
      <c r="AA48" s="1194"/>
      <c r="AB48" s="837"/>
      <c r="AC48" s="1162"/>
      <c r="AD48" s="475"/>
      <c r="AE48" s="549"/>
      <c r="AF48" s="549"/>
      <c r="AG48" s="549"/>
      <c r="AH48" s="549"/>
      <c r="AI48" s="549"/>
      <c r="AJ48" s="549"/>
      <c r="AK48" s="549"/>
      <c r="AL48" s="549"/>
      <c r="AM48" s="549"/>
    </row>
    <row r="49" spans="2:40" ht="23.25" hidden="1" customHeight="1">
      <c r="B49" s="1" t="b">
        <f>AC46&lt;&gt;$AC$46</f>
        <v>0</v>
      </c>
      <c r="D49" s="1">
        <v>37</v>
      </c>
      <c r="I49" s="1" t="str">
        <f>I46</f>
        <v>########</v>
      </c>
      <c r="J49" s="442" t="str">
        <f>J46</f>
        <v>0</v>
      </c>
      <c r="AA49" s="1194"/>
      <c r="AB49" s="837"/>
      <c r="AC49" s="1162"/>
      <c r="AD49" s="475"/>
      <c r="AE49" s="549"/>
      <c r="AF49" s="549"/>
      <c r="AG49" s="549"/>
      <c r="AH49" s="549"/>
      <c r="AI49" s="549"/>
      <c r="AJ49" s="549"/>
      <c r="AK49" s="549"/>
      <c r="AL49" s="549"/>
      <c r="AM49" s="549"/>
    </row>
    <row r="50" spans="2:40" ht="23.25" hidden="1" customHeight="1">
      <c r="B50" s="1" t="b">
        <f>AC46&lt;&gt;$AC$46</f>
        <v>0</v>
      </c>
      <c r="D50" s="1">
        <v>37</v>
      </c>
      <c r="H50" s="1" t="s">
        <v>2260</v>
      </c>
      <c r="I50" s="1" t="str">
        <f>I46</f>
        <v>########</v>
      </c>
      <c r="J50" s="442" t="str">
        <f>J46</f>
        <v>0</v>
      </c>
      <c r="AA50" s="1194"/>
      <c r="AB50" s="838"/>
      <c r="AC50" s="1163"/>
      <c r="AD50" s="475"/>
      <c r="AE50" s="147">
        <f>IF(AF50=0,0,AG50/AF50*1000)</f>
        <v>0</v>
      </c>
      <c r="AF50" s="86"/>
      <c r="AG50" s="86"/>
      <c r="AH50" s="86"/>
      <c r="AI50" s="86"/>
      <c r="AJ50" s="147">
        <f>IF(AI50=0,0,AH50*AI50/1000)</f>
        <v>0</v>
      </c>
      <c r="AK50" s="86"/>
      <c r="AL50" s="86"/>
      <c r="AM50" s="147">
        <f>IF(AL50=0,0,AK50*AL50/1000)</f>
        <v>0</v>
      </c>
    </row>
    <row r="51" spans="2:40" ht="21.75" customHeight="1">
      <c r="D51" s="1">
        <v>29</v>
      </c>
      <c r="H51" s="1" t="s">
        <v>2260</v>
      </c>
      <c r="AB51" s="152"/>
      <c r="AC51" s="151"/>
      <c r="AD51" s="151" t="s">
        <v>540</v>
      </c>
      <c r="AE51" s="151"/>
      <c r="AF51" s="151"/>
      <c r="AG51" s="151"/>
      <c r="AH51" s="151"/>
      <c r="AI51" s="151"/>
      <c r="AJ51" s="151"/>
      <c r="AK51" s="151"/>
      <c r="AL51" s="151"/>
      <c r="AM51" s="555"/>
    </row>
    <row r="52" spans="2:40" ht="27.75" customHeight="1">
      <c r="D52" s="1">
        <v>37</v>
      </c>
      <c r="H52" s="1" t="s">
        <v>2261</v>
      </c>
      <c r="I52" s="63" t="s">
        <v>547</v>
      </c>
      <c r="J52" s="63" t="s">
        <v>547</v>
      </c>
      <c r="AB52" s="83" t="s">
        <v>1129</v>
      </c>
      <c r="AC52" s="83"/>
      <c r="AD52" s="224" t="s">
        <v>2262</v>
      </c>
      <c r="AE52" s="549"/>
      <c r="AF52" s="549"/>
      <c r="AG52" s="427">
        <f>SUM(AG53:AG56)</f>
        <v>0</v>
      </c>
      <c r="AH52" s="549"/>
      <c r="AI52" s="549"/>
      <c r="AJ52" s="427">
        <f>SUM(AJ53:AJ56)</f>
        <v>0</v>
      </c>
      <c r="AK52" s="549"/>
      <c r="AL52" s="549"/>
      <c r="AM52" s="427">
        <f>SUM(AM53:AM56)</f>
        <v>0</v>
      </c>
    </row>
    <row r="53" spans="2:40" ht="23.25" hidden="1" customHeight="1">
      <c r="B53" s="1" t="b">
        <f>AC53&lt;&gt;$AC$53</f>
        <v>0</v>
      </c>
      <c r="D53" s="1">
        <v>37</v>
      </c>
      <c r="I53" s="29" t="str">
        <f>CONCATENATE(AD53,"##",AD54,"##",AD55)</f>
        <v>####</v>
      </c>
      <c r="J53" s="442" t="str">
        <f>AC53</f>
        <v>0</v>
      </c>
      <c r="AA53" s="1194" t="s">
        <v>517</v>
      </c>
      <c r="AB53" s="836" t="str">
        <f>$AB$52&amp;AC53</f>
        <v>4.0</v>
      </c>
      <c r="AC53" s="1161" t="s">
        <v>578</v>
      </c>
      <c r="AD53" s="475"/>
      <c r="AE53" s="549"/>
      <c r="AF53" s="549"/>
      <c r="AG53" s="549"/>
      <c r="AH53" s="549"/>
      <c r="AI53" s="549"/>
      <c r="AJ53" s="549"/>
      <c r="AK53" s="549"/>
      <c r="AL53" s="549"/>
      <c r="AM53" s="549"/>
      <c r="AN53" t="s">
        <v>539</v>
      </c>
    </row>
    <row r="54" spans="2:40" ht="23.25" hidden="1" customHeight="1">
      <c r="B54" s="1" t="b">
        <f>AC53&lt;&gt;$AC$53</f>
        <v>0</v>
      </c>
      <c r="D54" s="1">
        <v>37</v>
      </c>
      <c r="I54" s="1" t="str">
        <f>I53</f>
        <v>####</v>
      </c>
      <c r="J54" s="442" t="str">
        <f>J53</f>
        <v>0</v>
      </c>
      <c r="AA54" s="1194"/>
      <c r="AB54" s="837"/>
      <c r="AC54" s="1162"/>
      <c r="AD54" s="475"/>
      <c r="AE54" s="549"/>
      <c r="AF54" s="549"/>
      <c r="AG54" s="549"/>
      <c r="AH54" s="549"/>
      <c r="AI54" s="549"/>
      <c r="AJ54" s="549"/>
      <c r="AK54" s="549"/>
      <c r="AL54" s="549"/>
      <c r="AM54" s="549"/>
    </row>
    <row r="55" spans="2:40" ht="23.25" hidden="1" customHeight="1">
      <c r="B55" s="1" t="b">
        <f>AC53&lt;&gt;$AC$53</f>
        <v>0</v>
      </c>
      <c r="D55" s="1">
        <v>37</v>
      </c>
      <c r="H55" s="1" t="s">
        <v>2263</v>
      </c>
      <c r="I55" s="1" t="str">
        <f>I53</f>
        <v>####</v>
      </c>
      <c r="J55" s="442" t="str">
        <f>J53</f>
        <v>0</v>
      </c>
      <c r="AA55" s="1194"/>
      <c r="AB55" s="838"/>
      <c r="AC55" s="1163"/>
      <c r="AD55" s="475"/>
      <c r="AE55" s="147">
        <f>IF(AF55=0,0,AG55/AF55*1000)</f>
        <v>0</v>
      </c>
      <c r="AF55" s="86"/>
      <c r="AG55" s="86"/>
      <c r="AH55" s="86"/>
      <c r="AI55" s="86"/>
      <c r="AJ55" s="147">
        <f>IF(AI55=0,0,AH55*AI55/1000)</f>
        <v>0</v>
      </c>
      <c r="AK55" s="86"/>
      <c r="AL55" s="86"/>
      <c r="AM55" s="147">
        <f>IF(AL55=0,0,AK55*AL55/1000)</f>
        <v>0</v>
      </c>
    </row>
    <row r="56" spans="2:40" ht="21.75" customHeight="1">
      <c r="D56" s="1">
        <v>29</v>
      </c>
      <c r="H56" s="1" t="s">
        <v>2263</v>
      </c>
      <c r="AB56" s="152"/>
      <c r="AC56" s="151"/>
      <c r="AD56" s="151" t="s">
        <v>540</v>
      </c>
      <c r="AE56" s="151"/>
      <c r="AF56" s="151"/>
      <c r="AG56" s="151"/>
      <c r="AH56" s="151"/>
      <c r="AI56" s="151"/>
      <c r="AJ56" s="151"/>
      <c r="AK56" s="151"/>
      <c r="AL56" s="151"/>
      <c r="AM56" s="555"/>
    </row>
    <row r="57" spans="2:40" ht="45.75" customHeight="1">
      <c r="D57" s="1">
        <v>61</v>
      </c>
      <c r="H57" s="1" t="s">
        <v>2264</v>
      </c>
      <c r="I57" s="63" t="s">
        <v>547</v>
      </c>
      <c r="J57" s="63" t="s">
        <v>547</v>
      </c>
      <c r="AB57" s="83" t="s">
        <v>2289</v>
      </c>
      <c r="AC57" s="83"/>
      <c r="AD57" s="163" t="s">
        <v>2265</v>
      </c>
      <c r="AE57" s="549"/>
      <c r="AF57" s="549"/>
      <c r="AG57" s="427">
        <f>SUM(AG58:AG62)</f>
        <v>0</v>
      </c>
      <c r="AH57" s="549"/>
      <c r="AI57" s="549"/>
      <c r="AJ57" s="427">
        <f>SUM(AJ58:AJ62)</f>
        <v>0</v>
      </c>
      <c r="AK57" s="549"/>
      <c r="AL57" s="549"/>
      <c r="AM57" s="427">
        <f>SUM(AM58:AM62)</f>
        <v>0</v>
      </c>
    </row>
    <row r="58" spans="2:40" ht="23.25" hidden="1" customHeight="1">
      <c r="B58" s="1" t="b">
        <f>AC58&lt;&gt;$AC$58</f>
        <v>0</v>
      </c>
      <c r="D58" s="1">
        <v>37</v>
      </c>
      <c r="I58" s="29" t="str">
        <f>CONCATENATE(AD58,"##",AD59,"##",AD60,"##",AD61)</f>
        <v>######</v>
      </c>
      <c r="J58" s="442" t="str">
        <f>AC58</f>
        <v>0</v>
      </c>
      <c r="AA58" s="1194" t="s">
        <v>517</v>
      </c>
      <c r="AB58" s="1161" t="str">
        <f>$AB$57&amp;AC58</f>
        <v>5.0</v>
      </c>
      <c r="AC58" s="1161" t="s">
        <v>578</v>
      </c>
      <c r="AD58" s="475"/>
      <c r="AE58" s="549"/>
      <c r="AF58" s="549"/>
      <c r="AG58" s="549"/>
      <c r="AH58" s="549"/>
      <c r="AI58" s="549"/>
      <c r="AJ58" s="549"/>
      <c r="AK58" s="549"/>
      <c r="AL58" s="549"/>
      <c r="AM58" s="549"/>
      <c r="AN58" t="s">
        <v>539</v>
      </c>
    </row>
    <row r="59" spans="2:40" ht="23.25" hidden="1" customHeight="1">
      <c r="B59" s="1" t="b">
        <f>AC58&lt;&gt;$AC$58</f>
        <v>0</v>
      </c>
      <c r="D59" s="1">
        <v>37</v>
      </c>
      <c r="I59" s="1" t="str">
        <f>I58</f>
        <v>######</v>
      </c>
      <c r="J59" s="442" t="str">
        <f>J58</f>
        <v>0</v>
      </c>
      <c r="AA59" s="1194"/>
      <c r="AB59" s="837"/>
      <c r="AC59" s="1162"/>
      <c r="AD59" s="475"/>
      <c r="AE59" s="549"/>
      <c r="AF59" s="549"/>
      <c r="AG59" s="549"/>
      <c r="AH59" s="549"/>
      <c r="AI59" s="549"/>
      <c r="AJ59" s="549"/>
      <c r="AK59" s="549"/>
      <c r="AL59" s="549"/>
      <c r="AM59" s="549"/>
    </row>
    <row r="60" spans="2:40" ht="23.25" hidden="1" customHeight="1">
      <c r="B60" s="1" t="b">
        <f>AC58&lt;&gt;$AC$58</f>
        <v>0</v>
      </c>
      <c r="D60" s="1">
        <v>37</v>
      </c>
      <c r="I60" s="1" t="str">
        <f>I58</f>
        <v>######</v>
      </c>
      <c r="J60" s="442" t="str">
        <f>J58</f>
        <v>0</v>
      </c>
      <c r="AA60" s="1194"/>
      <c r="AB60" s="837"/>
      <c r="AC60" s="1162"/>
      <c r="AD60" s="475"/>
      <c r="AE60" s="549"/>
      <c r="AF60" s="549"/>
      <c r="AG60" s="549"/>
      <c r="AH60" s="549"/>
      <c r="AI60" s="549"/>
      <c r="AJ60" s="549"/>
      <c r="AK60" s="549"/>
      <c r="AL60" s="549"/>
      <c r="AM60" s="549"/>
    </row>
    <row r="61" spans="2:40" ht="23.25" hidden="1" customHeight="1">
      <c r="B61" s="1" t="b">
        <f>AC58&lt;&gt;$AC$58</f>
        <v>0</v>
      </c>
      <c r="D61" s="1">
        <v>37</v>
      </c>
      <c r="H61" s="1" t="s">
        <v>2266</v>
      </c>
      <c r="I61" s="1" t="str">
        <f>I58</f>
        <v>######</v>
      </c>
      <c r="J61" s="442" t="str">
        <f>J58</f>
        <v>0</v>
      </c>
      <c r="AA61" s="1194"/>
      <c r="AB61" s="838"/>
      <c r="AC61" s="1163"/>
      <c r="AD61" s="475"/>
      <c r="AE61" s="147">
        <f>IF(AF61=0,0,AG61/AF61*1000)</f>
        <v>0</v>
      </c>
      <c r="AF61" s="86"/>
      <c r="AG61" s="86"/>
      <c r="AH61" s="86"/>
      <c r="AI61" s="86"/>
      <c r="AJ61" s="147">
        <f>IF(AI61=0,0,AH61*AI61/1000)</f>
        <v>0</v>
      </c>
      <c r="AK61" s="86"/>
      <c r="AL61" s="86"/>
      <c r="AM61" s="147">
        <f>IF(AL61=0,0,AK61*AL61/1000)</f>
        <v>0</v>
      </c>
    </row>
    <row r="62" spans="2:40" ht="21.75" customHeight="1">
      <c r="D62" s="1">
        <v>29</v>
      </c>
      <c r="H62" s="1" t="s">
        <v>2266</v>
      </c>
      <c r="AB62" s="152"/>
      <c r="AC62" s="151"/>
      <c r="AD62" s="151" t="s">
        <v>540</v>
      </c>
      <c r="AE62" s="151"/>
      <c r="AF62" s="151"/>
      <c r="AG62" s="151"/>
      <c r="AH62" s="151"/>
      <c r="AI62" s="151"/>
      <c r="AJ62" s="151"/>
      <c r="AK62" s="151"/>
      <c r="AL62" s="151"/>
      <c r="AM62" s="555"/>
    </row>
    <row r="63" spans="2:40" ht="27" customHeight="1">
      <c r="D63" s="1">
        <v>36</v>
      </c>
      <c r="H63" s="1" t="s">
        <v>2267</v>
      </c>
      <c r="I63" s="63" t="s">
        <v>547</v>
      </c>
      <c r="J63" s="63" t="s">
        <v>547</v>
      </c>
      <c r="AB63" s="83" t="s">
        <v>2290</v>
      </c>
      <c r="AC63" s="83"/>
      <c r="AD63" s="163" t="s">
        <v>2268</v>
      </c>
      <c r="AE63" s="549"/>
      <c r="AF63" s="549"/>
      <c r="AG63" s="427">
        <f>SUM(AG64:AG68)</f>
        <v>0</v>
      </c>
      <c r="AH63" s="549"/>
      <c r="AI63" s="549"/>
      <c r="AJ63" s="427">
        <f>SUM(AJ64:AJ68)</f>
        <v>0</v>
      </c>
      <c r="AK63" s="549"/>
      <c r="AL63" s="549"/>
      <c r="AM63" s="427">
        <f>SUM(AM64:AM68)</f>
        <v>0</v>
      </c>
    </row>
    <row r="64" spans="2:40" ht="23.25" hidden="1" customHeight="1">
      <c r="B64" s="1" t="b">
        <f>AC64&lt;&gt;$AC$64</f>
        <v>0</v>
      </c>
      <c r="D64" s="1">
        <v>37</v>
      </c>
      <c r="I64" s="29" t="str">
        <f>CONCATENATE(AD64,"##",AD65,"##",AD66,"##",AD67)</f>
        <v>######</v>
      </c>
      <c r="J64" s="442" t="str">
        <f>AC64</f>
        <v>0</v>
      </c>
      <c r="AA64" s="1194" t="s">
        <v>517</v>
      </c>
      <c r="AB64" s="1161" t="str">
        <f>$AB$63&amp;AC64</f>
        <v>6.0</v>
      </c>
      <c r="AC64" s="1161" t="s">
        <v>578</v>
      </c>
      <c r="AD64" s="475"/>
      <c r="AE64" s="549"/>
      <c r="AF64" s="549"/>
      <c r="AG64" s="549"/>
      <c r="AH64" s="549"/>
      <c r="AI64" s="549"/>
      <c r="AJ64" s="549"/>
      <c r="AK64" s="549"/>
      <c r="AL64" s="549"/>
      <c r="AM64" s="549"/>
      <c r="AN64" t="s">
        <v>539</v>
      </c>
    </row>
    <row r="65" spans="2:41" ht="23.25" hidden="1" customHeight="1">
      <c r="B65" s="1" t="b">
        <f>AC64&lt;&gt;$AC$64</f>
        <v>0</v>
      </c>
      <c r="D65" s="1">
        <v>37</v>
      </c>
      <c r="I65" s="1" t="str">
        <f>I64</f>
        <v>######</v>
      </c>
      <c r="J65" s="442" t="str">
        <f>J64</f>
        <v>0</v>
      </c>
      <c r="AA65" s="1194"/>
      <c r="AB65" s="837"/>
      <c r="AC65" s="1162"/>
      <c r="AD65" s="475"/>
      <c r="AE65" s="549"/>
      <c r="AF65" s="549"/>
      <c r="AG65" s="549"/>
      <c r="AH65" s="549"/>
      <c r="AI65" s="549"/>
      <c r="AJ65" s="549"/>
      <c r="AK65" s="549"/>
      <c r="AL65" s="549"/>
      <c r="AM65" s="549"/>
    </row>
    <row r="66" spans="2:41" ht="23.25" hidden="1" customHeight="1">
      <c r="B66" s="1" t="b">
        <f>AC64&lt;&gt;$AC$64</f>
        <v>0</v>
      </c>
      <c r="D66" s="1">
        <v>37</v>
      </c>
      <c r="I66" s="1" t="str">
        <f>I64</f>
        <v>######</v>
      </c>
      <c r="J66" s="442" t="str">
        <f>J64</f>
        <v>0</v>
      </c>
      <c r="AA66" s="1194"/>
      <c r="AB66" s="837"/>
      <c r="AC66" s="1162"/>
      <c r="AD66" s="475"/>
      <c r="AE66" s="549"/>
      <c r="AF66" s="549"/>
      <c r="AG66" s="549"/>
      <c r="AH66" s="549"/>
      <c r="AI66" s="549"/>
      <c r="AJ66" s="549"/>
      <c r="AK66" s="549"/>
      <c r="AL66" s="549"/>
      <c r="AM66" s="549"/>
    </row>
    <row r="67" spans="2:41" ht="23.25" hidden="1" customHeight="1">
      <c r="B67" s="1" t="b">
        <f>AC64&lt;&gt;$AC$64</f>
        <v>0</v>
      </c>
      <c r="D67" s="1">
        <v>37</v>
      </c>
      <c r="H67" s="1" t="s">
        <v>2269</v>
      </c>
      <c r="I67" s="1" t="str">
        <f>I64</f>
        <v>######</v>
      </c>
      <c r="J67" s="442" t="str">
        <f>J64</f>
        <v>0</v>
      </c>
      <c r="AA67" s="1194"/>
      <c r="AB67" s="838"/>
      <c r="AC67" s="1163"/>
      <c r="AD67" s="475"/>
      <c r="AE67" s="147">
        <f>IF(AF67=0,0,AG67/AF67*1000)</f>
        <v>0</v>
      </c>
      <c r="AF67" s="86"/>
      <c r="AG67" s="86"/>
      <c r="AH67" s="86"/>
      <c r="AI67" s="86"/>
      <c r="AJ67" s="147">
        <f>IF(AI67=0,0,AH67*AI67/1000)</f>
        <v>0</v>
      </c>
      <c r="AK67" s="86"/>
      <c r="AL67" s="86"/>
      <c r="AM67" s="147">
        <f>IF(AL67=0,0,AK67*AL67/1000)</f>
        <v>0</v>
      </c>
    </row>
    <row r="68" spans="2:41" ht="21.75" customHeight="1">
      <c r="D68" s="1">
        <v>29</v>
      </c>
      <c r="H68" s="1" t="s">
        <v>2269</v>
      </c>
      <c r="AB68" s="152"/>
      <c r="AC68" s="151"/>
      <c r="AD68" s="151" t="s">
        <v>540</v>
      </c>
      <c r="AE68" s="151"/>
      <c r="AF68" s="151"/>
      <c r="AG68" s="151"/>
      <c r="AH68" s="151"/>
      <c r="AI68" s="151"/>
      <c r="AJ68" s="151"/>
      <c r="AK68" s="151"/>
      <c r="AL68" s="151"/>
      <c r="AM68" s="555"/>
    </row>
    <row r="69" spans="2:41" ht="27" customHeight="1">
      <c r="D69" s="1">
        <v>36</v>
      </c>
      <c r="H69" s="1" t="s">
        <v>2270</v>
      </c>
      <c r="I69" s="63" t="s">
        <v>547</v>
      </c>
      <c r="J69" s="63" t="s">
        <v>547</v>
      </c>
      <c r="AB69" s="83" t="s">
        <v>1138</v>
      </c>
      <c r="AC69" s="83"/>
      <c r="AD69" s="163" t="s">
        <v>2271</v>
      </c>
      <c r="AE69" s="549"/>
      <c r="AF69" s="549"/>
      <c r="AG69" s="427">
        <f>SUM(AG70:AG74)</f>
        <v>0</v>
      </c>
      <c r="AH69" s="549"/>
      <c r="AI69" s="549"/>
      <c r="AJ69" s="427">
        <f>SUM(AJ70:AJ74)</f>
        <v>0</v>
      </c>
      <c r="AK69" s="549"/>
      <c r="AL69" s="549"/>
      <c r="AM69" s="427">
        <f>SUM(AM70:AM74)</f>
        <v>0</v>
      </c>
    </row>
    <row r="70" spans="2:41" ht="23.25" hidden="1" customHeight="1">
      <c r="B70" s="1" t="b">
        <f>AC70&lt;&gt;$AC$70</f>
        <v>0</v>
      </c>
      <c r="D70" s="1">
        <v>37</v>
      </c>
      <c r="I70" s="29" t="str">
        <f>CONCATENATE(AD70,"##",AD71,"##",AD72,"##",AD73)</f>
        <v>######</v>
      </c>
      <c r="J70" s="442" t="str">
        <f>AC70</f>
        <v>0</v>
      </c>
      <c r="AA70" s="1194" t="s">
        <v>517</v>
      </c>
      <c r="AB70" s="1161" t="str">
        <f>$AB$69&amp;AC70</f>
        <v>7.0</v>
      </c>
      <c r="AC70" s="1161" t="s">
        <v>578</v>
      </c>
      <c r="AD70" s="475"/>
      <c r="AE70" s="549"/>
      <c r="AF70" s="549"/>
      <c r="AG70" s="549"/>
      <c r="AH70" s="549"/>
      <c r="AI70" s="549"/>
      <c r="AJ70" s="549"/>
      <c r="AK70" s="549"/>
      <c r="AL70" s="549"/>
      <c r="AM70" s="549"/>
      <c r="AN70" s="556" t="s">
        <v>539</v>
      </c>
    </row>
    <row r="71" spans="2:41" ht="23.25" hidden="1" customHeight="1">
      <c r="B71" s="1" t="b">
        <f>AC70&lt;&gt;$AC$70</f>
        <v>0</v>
      </c>
      <c r="D71" s="1">
        <v>37</v>
      </c>
      <c r="I71" s="1" t="str">
        <f>I70</f>
        <v>######</v>
      </c>
      <c r="J71" s="442" t="str">
        <f>J70</f>
        <v>0</v>
      </c>
      <c r="AA71" s="1194"/>
      <c r="AB71" s="837"/>
      <c r="AC71" s="1162"/>
      <c r="AD71" s="475"/>
      <c r="AE71" s="549"/>
      <c r="AF71" s="549"/>
      <c r="AG71" s="549"/>
      <c r="AH71" s="549"/>
      <c r="AI71" s="549"/>
      <c r="AJ71" s="549"/>
      <c r="AK71" s="549"/>
      <c r="AL71" s="549"/>
      <c r="AM71" s="549"/>
    </row>
    <row r="72" spans="2:41" ht="23.25" hidden="1" customHeight="1">
      <c r="B72" s="1" t="b">
        <f>AC70&lt;&gt;$AC$70</f>
        <v>0</v>
      </c>
      <c r="D72" s="1">
        <v>37</v>
      </c>
      <c r="I72" s="1" t="str">
        <f>I70</f>
        <v>######</v>
      </c>
      <c r="J72" s="442" t="str">
        <f>J70</f>
        <v>0</v>
      </c>
      <c r="AA72" s="1194"/>
      <c r="AB72" s="837"/>
      <c r="AC72" s="1162"/>
      <c r="AD72" s="475"/>
      <c r="AE72" s="549"/>
      <c r="AF72" s="549"/>
      <c r="AG72" s="549"/>
      <c r="AH72" s="549"/>
      <c r="AI72" s="549"/>
      <c r="AJ72" s="549"/>
      <c r="AK72" s="549"/>
      <c r="AL72" s="549"/>
      <c r="AM72" s="549"/>
    </row>
    <row r="73" spans="2:41" ht="23.25" hidden="1" customHeight="1">
      <c r="B73" s="1" t="b">
        <f>AC70&lt;&gt;$AC$70</f>
        <v>0</v>
      </c>
      <c r="D73" s="1">
        <v>37</v>
      </c>
      <c r="H73" s="1" t="s">
        <v>2272</v>
      </c>
      <c r="I73" s="1" t="str">
        <f>I70</f>
        <v>######</v>
      </c>
      <c r="J73" s="442" t="str">
        <f>J70</f>
        <v>0</v>
      </c>
      <c r="AA73" s="1194"/>
      <c r="AB73" s="838"/>
      <c r="AC73" s="1163"/>
      <c r="AD73" s="475"/>
      <c r="AE73" s="147">
        <f>IF(AF73=0,0,AG73/AF73*1000)</f>
        <v>0</v>
      </c>
      <c r="AF73" s="86"/>
      <c r="AG73" s="86"/>
      <c r="AH73" s="86"/>
      <c r="AI73" s="86"/>
      <c r="AJ73" s="147">
        <f>IF(AI73=0,0,AH73*AI73/1000)</f>
        <v>0</v>
      </c>
      <c r="AK73" s="86"/>
      <c r="AL73" s="86"/>
      <c r="AM73" s="147">
        <f>IF(AL73=0,0,AK73*AL73/1000)</f>
        <v>0</v>
      </c>
    </row>
    <row r="74" spans="2:41" ht="21.75" customHeight="1">
      <c r="D74" s="1">
        <v>29</v>
      </c>
      <c r="H74" s="1" t="s">
        <v>2272</v>
      </c>
      <c r="AB74" s="152"/>
      <c r="AC74" s="151"/>
      <c r="AD74" s="151" t="s">
        <v>540</v>
      </c>
      <c r="AE74" s="151"/>
      <c r="AF74" s="151"/>
      <c r="AG74" s="151"/>
      <c r="AH74" s="151"/>
      <c r="AI74" s="151"/>
      <c r="AJ74" s="151"/>
      <c r="AK74" s="151"/>
      <c r="AL74" s="151"/>
      <c r="AM74" s="555"/>
    </row>
    <row r="75" spans="2:41" ht="11.25" hidden="1" customHeight="1">
      <c r="D75">
        <v>0</v>
      </c>
      <c r="AO75" t="s">
        <v>42</v>
      </c>
    </row>
    <row r="76" spans="2:41" ht="11.25" hidden="1" customHeight="1"/>
    <row r="77" spans="2:41" ht="11.25" hidden="1" customHeight="1"/>
    <row r="78" spans="2:41" ht="11.25" hidden="1" customHeight="1"/>
    <row r="79" spans="2:41" ht="11.25" hidden="1" customHeight="1"/>
    <row r="80" spans="2:41" ht="11.25" hidden="1" customHeight="1"/>
    <row r="81" ht="11.25" hidden="1" customHeight="1"/>
    <row r="82" ht="11.25" hidden="1" customHeight="1"/>
    <row r="83" ht="11.25" hidden="1" customHeight="1"/>
    <row r="84" ht="11.25" hidden="1" customHeight="1"/>
  </sheetData>
  <sheetProtection insertRows="0" deleteColumns="0" deleteRows="0" sort="0" autoFilter="0"/>
  <mergeCells count="27">
    <mergeCell ref="AC70:AC73"/>
    <mergeCell ref="AC39:AC43"/>
    <mergeCell ref="AC46:AC50"/>
    <mergeCell ref="AC53:AC55"/>
    <mergeCell ref="AC58:AC61"/>
    <mergeCell ref="AC64:AC67"/>
    <mergeCell ref="AB58:AB61"/>
    <mergeCell ref="AA58:AA61"/>
    <mergeCell ref="AB64:AB67"/>
    <mergeCell ref="AA64:AA67"/>
    <mergeCell ref="AB70:AB73"/>
    <mergeCell ref="AA70:AA73"/>
    <mergeCell ref="AB39:AB43"/>
    <mergeCell ref="AA39:AA43"/>
    <mergeCell ref="AB46:AB50"/>
    <mergeCell ref="AA46:AA50"/>
    <mergeCell ref="AB53:AB55"/>
    <mergeCell ref="AA53:AA55"/>
    <mergeCell ref="AB21:AM21"/>
    <mergeCell ref="AB22:AM22"/>
    <mergeCell ref="AB23:AM23"/>
    <mergeCell ref="AB24:AM24"/>
    <mergeCell ref="AE34:AG34"/>
    <mergeCell ref="AH34:AJ34"/>
    <mergeCell ref="AK34:AM34"/>
    <mergeCell ref="AD34:AD35"/>
    <mergeCell ref="AB34:AB35"/>
  </mergeCells>
  <dataValidations count="23">
    <dataValidation type="decimal" allowBlank="1" showErrorMessage="1" errorTitle="Ошибка" error="Допускается ввод только неотрицательных чисел!" sqref="AK37:AL37 AH37:AI37 AE37:AF37 AE29:AE30 AF43:AI43 AK43:AL43 AK50:AL50 AF50:AI50 AK55:AL55 AF55:AI55 AK61:AL61 AF61:AI61 AK67:AL67 AF67:AI67 AK73:AL73 AF73:AI73" xr:uid="{00000000-0002-0000-3D00-000000000000}">
      <formula1>0</formula1>
      <formula2>9.99999999999999E+23</formula2>
    </dataValidation>
    <dataValidation type="list" allowBlank="1" showInputMessage="1" showErrorMessage="1" errorTitle="Ошибка" error="Допускается ввод не более 900 символов!" sqref="AD39" xr:uid="{00000000-0002-0000-3D00-000001000000}">
      <formula1>TYPE_OPOR</formula1>
    </dataValidation>
    <dataValidation type="list" allowBlank="1" showInputMessage="1" showErrorMessage="1" errorTitle="Ошибка" error="Допускается ввод не более 900 символов!" sqref="AD40" xr:uid="{00000000-0002-0000-3D00-000002000000}">
      <formula1>TYPE_PROVODA</formula1>
    </dataValidation>
    <dataValidation type="list" allowBlank="1" showInputMessage="1" showErrorMessage="1" errorTitle="Ошибка" error="Допускается ввод не более 900 символов!" sqref="AD41" xr:uid="{00000000-0002-0000-3D00-000003000000}">
      <formula1>PROVOD</formula1>
    </dataValidation>
    <dataValidation type="list" allowBlank="1" showInputMessage="1" showErrorMessage="1" errorTitle="Ошибка" error="Допускается ввод не более 900 символов!" sqref="AD42" xr:uid="{00000000-0002-0000-3D00-000004000000}">
      <formula1>SECHENIE_PROVOD</formula1>
    </dataValidation>
    <dataValidation type="list" allowBlank="1" showInputMessage="1" showErrorMessage="1" errorTitle="Ошибка" error="Допускается ввод не более 900 символов!" sqref="AD43" xr:uid="{00000000-0002-0000-3D00-000005000000}">
      <formula1>KOL_CEPEY</formula1>
    </dataValidation>
    <dataValidation type="list" allowBlank="1" showInputMessage="1" showErrorMessage="1" errorTitle="Ошибка" error="Допускается ввод не более 900 символов!" sqref="AD46" xr:uid="{00000000-0002-0000-3D00-000006000000}">
      <formula1>SPOSOB_PROKLADKI</formula1>
    </dataValidation>
    <dataValidation type="list" allowBlank="1" showInputMessage="1" showErrorMessage="1" errorTitle="Ошибка" error="Допускается ввод не более 900 символов!" sqref="AD47" xr:uid="{00000000-0002-0000-3D00-000007000000}">
      <formula1>TYPE_PROVOD_KL</formula1>
    </dataValidation>
    <dataValidation type="list" allowBlank="1" showInputMessage="1" showErrorMessage="1" errorTitle="Ошибка" error="Допускается ввод не более 900 символов!" sqref="AD48" xr:uid="{00000000-0002-0000-3D00-000008000000}">
      <formula1>TYPE_IZOL</formula1>
    </dataValidation>
    <dataValidation type="list" allowBlank="1" showInputMessage="1" showErrorMessage="1" errorTitle="Ошибка" error="Допускается ввод не более 900 символов!" sqref="AD49" xr:uid="{00000000-0002-0000-3D00-000009000000}">
      <formula1>SECHENIE_PROVOD_KL</formula1>
    </dataValidation>
    <dataValidation type="list" allowBlank="1" showInputMessage="1" showErrorMessage="1" errorTitle="Ошибка" error="Допускается ввод не более 900 символов!" sqref="AD50" xr:uid="{00000000-0002-0000-3D00-00000A000000}">
      <formula1>KOL_KAB</formula1>
    </dataValidation>
    <dataValidation type="list" allowBlank="1" showInputMessage="1" showErrorMessage="1" errorTitle="Ошибка" error="Допускается ввод не более 900 символов!" sqref="AD53" xr:uid="{00000000-0002-0000-3D00-00000B000000}">
      <formula1>TYPE_OBOR</formula1>
    </dataValidation>
    <dataValidation type="list" allowBlank="1" showInputMessage="1" showErrorMessage="1" errorTitle="Ошибка" error="Допускается ввод не более 900 символов!" sqref="AD54" xr:uid="{00000000-0002-0000-3D00-00000C000000}">
      <formula1>TOK</formula1>
    </dataValidation>
    <dataValidation type="list" allowBlank="1" showInputMessage="1" showErrorMessage="1" errorTitle="Ошибка" error="Допускается ввод не более 900 символов!" sqref="AD55" xr:uid="{00000000-0002-0000-3D00-00000D000000}">
      <formula1>KOL_YACHEEK</formula1>
    </dataValidation>
    <dataValidation type="list" allowBlank="1" showInputMessage="1" showErrorMessage="1" errorTitle="Ошибка" error="Допускается ввод не более 900 символов!" sqref="AD58" xr:uid="{00000000-0002-0000-3D00-00000E000000}">
      <formula1>napr_tr_C6</formula1>
    </dataValidation>
    <dataValidation type="list" allowBlank="1" showInputMessage="1" showErrorMessage="1" errorTitle="Ошибка" error="Допускается ввод не более 900 символов!" sqref="AD59 AD65 AD71" xr:uid="{00000000-0002-0000-3D00-00000F000000}">
      <formula1>KOL_TR</formula1>
    </dataValidation>
    <dataValidation type="list" allowBlank="1" showInputMessage="1" showErrorMessage="1" errorTitle="Ошибка" error="Допускается ввод не более 900 символов!" sqref="AD60" xr:uid="{00000000-0002-0000-3D00-000010000000}">
      <formula1>tr_power_С6</formula1>
    </dataValidation>
    <dataValidation type="list" allowBlank="1" showInputMessage="1" showErrorMessage="1" errorTitle="Ошибка" error="Допускается ввод не более 900 символов!" sqref="AD61" xr:uid="{00000000-0002-0000-3D00-000011000000}">
      <formula1>TYPE_С6</formula1>
    </dataValidation>
    <dataValidation type="list" allowBlank="1" showInputMessage="1" showErrorMessage="1" errorTitle="Ошибка" error="Допускается ввод не более 900 символов!" sqref="AD66" xr:uid="{00000000-0002-0000-3D00-000012000000}">
      <formula1>tr_power_С7</formula1>
    </dataValidation>
    <dataValidation type="list" allowBlank="1" showInputMessage="1" showErrorMessage="1" errorTitle="Ошибка" error="Допускается ввод не более 900 символов!" sqref="AD67 AD73" xr:uid="{00000000-0002-0000-3D00-000013000000}">
      <formula1>TYPE_С7</formula1>
    </dataValidation>
    <dataValidation type="list" allowBlank="1" showInputMessage="1" showErrorMessage="1" errorTitle="Ошибка" error="Допускается ввод не более 900 символов!" sqref="AD64" xr:uid="{00000000-0002-0000-3D00-000014000000}">
      <formula1>napr_tr_C7</formula1>
    </dataValidation>
    <dataValidation type="list" allowBlank="1" showInputMessage="1" showErrorMessage="1" errorTitle="Ошибка" error="Допускается ввод не более 900 символов!" sqref="AD70" xr:uid="{00000000-0002-0000-3D00-000015000000}">
      <formula1>napr_tr_C8</formula1>
    </dataValidation>
    <dataValidation type="list" allowBlank="1" showInputMessage="1" showErrorMessage="1" errorTitle="Ошибка" error="Допускается ввод не более 900 символов!" sqref="AD72" xr:uid="{00000000-0002-0000-3D00-000016000000}">
      <formula1>tr_power_С8</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N91"/>
  <sheetViews>
    <sheetView showGridLines="0" topLeftCell="AA20" workbookViewId="0">
      <selection activeCell="AA20" sqref="AA20"/>
    </sheetView>
  </sheetViews>
  <sheetFormatPr defaultColWidth="8.85546875" defaultRowHeight="11.45" customHeight="1"/>
  <cols>
    <col min="1" max="1" width="8.85546875" hidden="1"/>
    <col min="2" max="2" width="8.28515625" hidden="1" customWidth="1"/>
    <col min="3" max="26" width="5.7109375" hidden="1" customWidth="1"/>
    <col min="27" max="27" width="6.85546875" customWidth="1"/>
    <col min="28" max="28" width="9.140625" customWidth="1"/>
    <col min="29" max="29" width="60.5703125" customWidth="1"/>
    <col min="30" max="30" width="12.5703125" customWidth="1"/>
    <col min="31" max="32" width="18.28515625" customWidth="1"/>
    <col min="33" max="33" width="27.42578125" customWidth="1"/>
    <col min="34" max="39" width="17.140625" customWidth="1"/>
    <col min="40" max="40" width="8.85546875" hidden="1"/>
  </cols>
  <sheetData>
    <row r="1" spans="4:40" ht="11.25" hidden="1" customHeight="1"/>
    <row r="2" spans="4:40" ht="14.25" hidden="1" customHeight="1"/>
    <row r="3" spans="4:40" ht="14.25" hidden="1" customHeight="1">
      <c r="AB3" s="781"/>
      <c r="AC3" s="781"/>
    </row>
    <row r="4" spans="4:40" ht="14.2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64</v>
      </c>
      <c r="AC4" s="1">
        <v>424</v>
      </c>
      <c r="AD4" s="1">
        <v>88</v>
      </c>
      <c r="AE4" s="1">
        <v>128</v>
      </c>
      <c r="AF4" s="1">
        <v>128</v>
      </c>
      <c r="AG4" s="1">
        <v>192</v>
      </c>
      <c r="AH4" s="1">
        <v>120</v>
      </c>
      <c r="AI4" s="1">
        <v>120</v>
      </c>
      <c r="AJ4" s="1">
        <v>120</v>
      </c>
      <c r="AK4" s="1">
        <v>120</v>
      </c>
      <c r="AL4" s="1">
        <v>120</v>
      </c>
      <c r="AM4" s="1">
        <v>120</v>
      </c>
      <c r="AN4" s="2">
        <v>0</v>
      </c>
    </row>
    <row r="5" spans="4:40" ht="14.25" hidden="1" customHeight="1">
      <c r="D5" s="1">
        <v>40</v>
      </c>
    </row>
    <row r="6" spans="4:40" ht="14.25" hidden="1" customHeight="1">
      <c r="D6" s="1">
        <v>40</v>
      </c>
    </row>
    <row r="7" spans="4:40" ht="14.25" hidden="1" customHeight="1">
      <c r="D7" s="1">
        <v>40</v>
      </c>
    </row>
    <row r="8" spans="4:40" ht="14.25" hidden="1" customHeight="1">
      <c r="D8" s="1">
        <v>40</v>
      </c>
    </row>
    <row r="9" spans="4:40" ht="14.25" hidden="1" customHeight="1">
      <c r="D9" s="1">
        <v>40</v>
      </c>
    </row>
    <row r="10" spans="4:40" ht="14.25" hidden="1" customHeight="1">
      <c r="D10" s="1">
        <v>40</v>
      </c>
    </row>
    <row r="11" spans="4:40" ht="14.25" hidden="1" customHeight="1">
      <c r="D11" s="1">
        <v>40</v>
      </c>
    </row>
    <row r="12" spans="4:40" ht="14.25" hidden="1" customHeight="1">
      <c r="D12" s="1">
        <v>40</v>
      </c>
    </row>
    <row r="13" spans="4:40" ht="14.25" hidden="1" customHeight="1">
      <c r="D13" s="1">
        <v>40</v>
      </c>
    </row>
    <row r="14" spans="4:40" ht="14.25" hidden="1" customHeight="1">
      <c r="D14" s="1">
        <v>40</v>
      </c>
    </row>
    <row r="15" spans="4:40" ht="14.25" hidden="1" customHeight="1">
      <c r="D15" s="1">
        <v>40</v>
      </c>
    </row>
    <row r="16" spans="4:40" ht="14.25" hidden="1" customHeight="1">
      <c r="D16" s="1">
        <v>40</v>
      </c>
    </row>
    <row r="17" spans="4:39" ht="14.25" hidden="1" customHeight="1">
      <c r="D17" s="1">
        <v>40</v>
      </c>
    </row>
    <row r="18" spans="4:39" ht="14.25" hidden="1" customHeight="1">
      <c r="D18" s="1">
        <v>40</v>
      </c>
    </row>
    <row r="19" spans="4:39" ht="14.25" hidden="1" customHeight="1">
      <c r="D19" s="1">
        <v>40</v>
      </c>
    </row>
    <row r="20" spans="4:39" ht="18" customHeight="1">
      <c r="D20" s="1">
        <v>24</v>
      </c>
    </row>
    <row r="21" spans="4:39" ht="33" customHeight="1">
      <c r="D21" s="1">
        <v>44</v>
      </c>
      <c r="AB21" s="828" t="str">
        <f>ORG</f>
        <v>МУП "Горэлектросети"</v>
      </c>
      <c r="AC21" s="828"/>
      <c r="AD21" s="828"/>
      <c r="AE21" s="828"/>
      <c r="AF21" s="828"/>
      <c r="AG21" s="828"/>
    </row>
    <row r="22" spans="4:39" ht="13.5" customHeight="1">
      <c r="D22" s="1">
        <v>18</v>
      </c>
      <c r="AB22" s="806" t="s">
        <v>2291</v>
      </c>
      <c r="AC22" s="806"/>
      <c r="AD22" s="806"/>
      <c r="AE22" s="486"/>
      <c r="AF22" s="486"/>
      <c r="AG22" s="486"/>
    </row>
    <row r="23" spans="4:39" ht="13.5" customHeight="1">
      <c r="D23" s="1">
        <v>18</v>
      </c>
      <c r="AB23" s="557"/>
      <c r="AC23" s="434"/>
      <c r="AD23" s="434"/>
    </row>
    <row r="24" spans="4:39" ht="13.5" customHeight="1">
      <c r="D24" s="1">
        <v>18</v>
      </c>
      <c r="AB24" s="816" t="s">
        <v>509</v>
      </c>
      <c r="AC24" s="816" t="s">
        <v>756</v>
      </c>
      <c r="AD24" s="816" t="s">
        <v>609</v>
      </c>
      <c r="AE24" s="1204" t="str">
        <f>"Утверждено версия ТСО "&amp;PRD-1</f>
        <v>Утверждено версия ТСО 2025</v>
      </c>
      <c r="AF24" s="1204"/>
      <c r="AG24" s="1204"/>
      <c r="AH24" s="1204" t="str">
        <f>"МИН "&amp;PRD</f>
        <v>МИН 2026</v>
      </c>
      <c r="AI24" s="1204"/>
      <c r="AJ24" s="1204"/>
      <c r="AK24" s="1204" t="str">
        <f>"МАКС "&amp;PRD</f>
        <v>МАКС 2026</v>
      </c>
      <c r="AL24" s="1204"/>
      <c r="AM24" s="1204"/>
    </row>
    <row r="25" spans="4:39" ht="13.5" customHeight="1">
      <c r="D25" s="1">
        <v>18</v>
      </c>
      <c r="AB25" s="816"/>
      <c r="AC25" s="816"/>
      <c r="AD25" s="816"/>
      <c r="AE25" s="1204"/>
      <c r="AF25" s="1204"/>
      <c r="AG25" s="1204"/>
      <c r="AH25" s="1204"/>
      <c r="AI25" s="1204"/>
      <c r="AJ25" s="1204"/>
      <c r="AK25" s="1204"/>
      <c r="AL25" s="1204"/>
      <c r="AM25" s="1204"/>
    </row>
    <row r="26" spans="4:39" ht="11.25" hidden="1" customHeight="1">
      <c r="D26" s="1">
        <v>0</v>
      </c>
      <c r="AB26" s="816"/>
      <c r="AC26" s="816"/>
      <c r="AD26" s="816"/>
      <c r="AE26" s="77"/>
      <c r="AF26" s="77"/>
      <c r="AG26" s="77"/>
      <c r="AH26" s="77"/>
      <c r="AI26" s="77"/>
      <c r="AJ26" s="77"/>
      <c r="AK26" s="77"/>
      <c r="AL26" s="77"/>
      <c r="AM26" s="77"/>
    </row>
    <row r="27" spans="4:39" ht="13.5" customHeight="1">
      <c r="D27" s="1">
        <v>18</v>
      </c>
      <c r="AB27" s="816"/>
      <c r="AC27" s="816"/>
      <c r="AD27" s="816"/>
      <c r="AE27" s="80" t="s">
        <v>928</v>
      </c>
      <c r="AF27" s="80" t="s">
        <v>929</v>
      </c>
      <c r="AG27" s="80" t="s">
        <v>1029</v>
      </c>
      <c r="AH27" s="80" t="s">
        <v>928</v>
      </c>
      <c r="AI27" s="80" t="s">
        <v>929</v>
      </c>
      <c r="AJ27" s="80" t="s">
        <v>1029</v>
      </c>
      <c r="AK27" s="80" t="s">
        <v>928</v>
      </c>
      <c r="AL27" s="80" t="s">
        <v>929</v>
      </c>
      <c r="AM27" s="80" t="s">
        <v>1029</v>
      </c>
    </row>
    <row r="28" spans="4:39" ht="13.5" customHeight="1">
      <c r="D28" s="1">
        <v>18</v>
      </c>
      <c r="AB28" s="411"/>
      <c r="AC28" s="558" t="s">
        <v>1031</v>
      </c>
      <c r="AD28" s="80" t="s">
        <v>633</v>
      </c>
      <c r="AE28" s="443" t="e">
        <f>#REF!</f>
        <v>#REF!</v>
      </c>
      <c r="AF28" s="443" t="e">
        <f>AG28-AE28</f>
        <v>#REF!</v>
      </c>
      <c r="AG28" s="443" t="e">
        <f>#REF!</f>
        <v>#REF!</v>
      </c>
      <c r="AH28" s="187"/>
      <c r="AI28" s="187"/>
      <c r="AJ28" s="187"/>
      <c r="AK28" s="443" t="e">
        <f>#REF!</f>
        <v>#REF!</v>
      </c>
      <c r="AL28" s="443" t="e">
        <f>AM28-AK28</f>
        <v>#REF!</v>
      </c>
      <c r="AM28" s="443"/>
    </row>
    <row r="29" spans="4:39" ht="13.5" customHeight="1">
      <c r="D29" s="1">
        <v>18</v>
      </c>
      <c r="AB29" s="411"/>
      <c r="AC29" s="558" t="s">
        <v>2292</v>
      </c>
      <c r="AD29" s="80" t="s">
        <v>633</v>
      </c>
      <c r="AE29" s="183" t="e">
        <f>AG29</f>
        <v>#REF!</v>
      </c>
      <c r="AF29" s="183" t="e">
        <f>AG29</f>
        <v>#REF!</v>
      </c>
      <c r="AG29" s="183" t="e">
        <f>#REF!</f>
        <v>#REF!</v>
      </c>
      <c r="AH29" s="187"/>
      <c r="AI29" s="187"/>
      <c r="AJ29" s="182" t="e">
        <f>#REF!</f>
        <v>#REF!</v>
      </c>
      <c r="AK29" s="187"/>
      <c r="AL29" s="187"/>
      <c r="AM29" s="182" t="e">
        <f>AJ29</f>
        <v>#REF!</v>
      </c>
    </row>
    <row r="30" spans="4:39" ht="27.75" customHeight="1">
      <c r="D30" s="1">
        <v>37</v>
      </c>
      <c r="AB30" s="411" t="s">
        <v>528</v>
      </c>
      <c r="AC30" s="77" t="s">
        <v>2293</v>
      </c>
      <c r="AD30" s="80" t="s">
        <v>1218</v>
      </c>
      <c r="AE30" s="183" t="e">
        <f>AE32*AE33*10</f>
        <v>#REF!</v>
      </c>
      <c r="AF30" s="183" t="e">
        <f>AF32*AF33*10</f>
        <v>#REF!</v>
      </c>
      <c r="AG30" s="183" t="e">
        <f>AF30+AE30</f>
        <v>#REF!</v>
      </c>
      <c r="AH30" s="183" t="e">
        <f>AH32*AH33*10</f>
        <v>#REF!</v>
      </c>
      <c r="AI30" s="183" t="e">
        <f>AI32*AI33*10</f>
        <v>#REF!</v>
      </c>
      <c r="AJ30" s="183" t="e">
        <f>AI30+AH30</f>
        <v>#REF!</v>
      </c>
      <c r="AK30" s="183" t="e">
        <f>AK32*AK33*10</f>
        <v>#REF!</v>
      </c>
      <c r="AL30" s="183" t="e">
        <f>AL32*AL33*10</f>
        <v>#REF!</v>
      </c>
      <c r="AM30" s="183" t="e">
        <f>AK30+AL30</f>
        <v>#REF!</v>
      </c>
    </row>
    <row r="31" spans="4:39" ht="13.5" customHeight="1">
      <c r="D31" s="1">
        <v>18</v>
      </c>
      <c r="AB31" s="411" t="s">
        <v>618</v>
      </c>
      <c r="AC31" s="170" t="s">
        <v>919</v>
      </c>
      <c r="AD31" s="80" t="s">
        <v>2118</v>
      </c>
      <c r="AE31" s="182" t="e">
        <f>#REF!</f>
        <v>#REF!</v>
      </c>
      <c r="AF31" s="182" t="e">
        <f>#REF!</f>
        <v>#REF!</v>
      </c>
      <c r="AG31" s="187"/>
      <c r="AH31" s="182" t="e">
        <f>AE31</f>
        <v>#REF!</v>
      </c>
      <c r="AI31" s="182" t="e">
        <f>AF31</f>
        <v>#REF!</v>
      </c>
      <c r="AJ31" s="187"/>
      <c r="AK31" s="182" t="e">
        <f>#REF!</f>
        <v>#REF!</v>
      </c>
      <c r="AL31" s="182" t="e">
        <f>#REF!</f>
        <v>#REF!</v>
      </c>
      <c r="AM31" s="182" t="e">
        <f>#REF!</f>
        <v>#REF!</v>
      </c>
    </row>
    <row r="32" spans="4:39" ht="13.5" customHeight="1">
      <c r="D32" s="1">
        <v>18</v>
      </c>
      <c r="AB32" s="411" t="s">
        <v>622</v>
      </c>
      <c r="AC32" s="170" t="s">
        <v>2294</v>
      </c>
      <c r="AD32" s="80" t="s">
        <v>2118</v>
      </c>
      <c r="AE32" s="182" t="e">
        <f>#REF!</f>
        <v>#REF!</v>
      </c>
      <c r="AF32" s="182" t="e">
        <f>#REF!</f>
        <v>#REF!</v>
      </c>
      <c r="AG32" s="187"/>
      <c r="AH32" s="182" t="e">
        <f>AE32</f>
        <v>#REF!</v>
      </c>
      <c r="AI32" s="182" t="e">
        <f>AF32</f>
        <v>#REF!</v>
      </c>
      <c r="AJ32" s="187"/>
      <c r="AK32" s="182" t="e">
        <f>#REF!</f>
        <v>#REF!</v>
      </c>
      <c r="AL32" s="182" t="e">
        <f>#REF!</f>
        <v>#REF!</v>
      </c>
      <c r="AM32" s="182" t="e">
        <f>#REF!</f>
        <v>#REF!</v>
      </c>
    </row>
    <row r="33" spans="4:39" ht="13.5" customHeight="1">
      <c r="D33" s="1">
        <v>18</v>
      </c>
      <c r="AB33" s="411" t="s">
        <v>625</v>
      </c>
      <c r="AC33" s="170" t="s">
        <v>2295</v>
      </c>
      <c r="AD33" s="80" t="s">
        <v>2296</v>
      </c>
      <c r="AE33" s="182" t="e">
        <f>IF(REGION_NAME="Кемеровская область",#REF!/10,#REF!/10)</f>
        <v>#REF!</v>
      </c>
      <c r="AF33" s="182" t="e">
        <f>IF(REGION_NAME="Кемеровская область",#REF!/10,#REF!/10)</f>
        <v>#REF!</v>
      </c>
      <c r="AG33" s="187"/>
      <c r="AH33" s="182" t="e">
        <f>AE33*(1+$AJ$29)</f>
        <v>#REF!</v>
      </c>
      <c r="AI33" s="182" t="e">
        <f>AF33*(1+$AJ$29)</f>
        <v>#REF!</v>
      </c>
      <c r="AJ33" s="187"/>
      <c r="AK33" s="182" t="e">
        <f>#REF!/10</f>
        <v>#REF!</v>
      </c>
      <c r="AL33" s="182" t="e">
        <f>#REF!/10</f>
        <v>#REF!</v>
      </c>
      <c r="AM33" s="183" t="e">
        <f>#REF!/10</f>
        <v>#REF!</v>
      </c>
    </row>
    <row r="34" spans="4:39" ht="13.5" customHeight="1">
      <c r="D34" s="1">
        <v>18</v>
      </c>
      <c r="AB34" s="411" t="s">
        <v>530</v>
      </c>
      <c r="AC34" s="77" t="s">
        <v>1499</v>
      </c>
      <c r="AD34" s="80" t="s">
        <v>1218</v>
      </c>
      <c r="AE34" s="183" t="e">
        <f>AE35+AE38</f>
        <v>#REF!</v>
      </c>
      <c r="AF34" s="183" t="e">
        <f>AF35+AF38</f>
        <v>#REF!</v>
      </c>
      <c r="AG34" s="183" t="e">
        <f>AF34+AE34</f>
        <v>#REF!</v>
      </c>
      <c r="AH34" s="183" t="e">
        <f>AH35+AH38</f>
        <v>#REF!</v>
      </c>
      <c r="AI34" s="183" t="e">
        <f>AI35+AI38</f>
        <v>#REF!</v>
      </c>
      <c r="AJ34" s="183" t="e">
        <f>AI34+AH34</f>
        <v>#REF!</v>
      </c>
      <c r="AK34" s="183" t="e">
        <f>AK35+AK38</f>
        <v>#REF!</v>
      </c>
      <c r="AL34" s="183" t="e">
        <f>AL35+AL38</f>
        <v>#REF!</v>
      </c>
      <c r="AM34" s="183" t="e">
        <f>AL34+AK34</f>
        <v>#REF!</v>
      </c>
    </row>
    <row r="35" spans="4:39" ht="13.5" customHeight="1">
      <c r="D35" s="1">
        <v>18</v>
      </c>
      <c r="AB35" s="411" t="s">
        <v>632</v>
      </c>
      <c r="AC35" s="170" t="s">
        <v>1500</v>
      </c>
      <c r="AD35" s="80" t="s">
        <v>1218</v>
      </c>
      <c r="AE35" s="183" t="e">
        <f>#REF!</f>
        <v>#REF!</v>
      </c>
      <c r="AF35" s="183" t="e">
        <f>#REF!</f>
        <v>#REF!</v>
      </c>
      <c r="AG35" s="183" t="e">
        <f>AF35+AE35</f>
        <v>#REF!</v>
      </c>
      <c r="AH35" s="182" t="e">
        <f>AE35*(1+$AJ$29)</f>
        <v>#REF!</v>
      </c>
      <c r="AI35" s="182" t="e">
        <f>AF35*(1+$AJ$29)</f>
        <v>#REF!</v>
      </c>
      <c r="AJ35" s="183" t="e">
        <f>AI35+AH35</f>
        <v>#REF!</v>
      </c>
      <c r="AK35" s="182" t="e">
        <f>#REF!</f>
        <v>#REF!</v>
      </c>
      <c r="AL35" s="182" t="e">
        <f>#REF!</f>
        <v>#REF!</v>
      </c>
      <c r="AM35" s="183" t="e">
        <f>AL35+AK35</f>
        <v>#REF!</v>
      </c>
    </row>
    <row r="36" spans="4:39" ht="13.5" customHeight="1">
      <c r="D36" s="1">
        <v>18</v>
      </c>
      <c r="AB36" s="411" t="s">
        <v>955</v>
      </c>
      <c r="AC36" s="170" t="s">
        <v>1501</v>
      </c>
      <c r="AD36" s="80" t="s">
        <v>639</v>
      </c>
      <c r="AE36" s="183" t="e">
        <f>#REF!</f>
        <v>#REF!</v>
      </c>
      <c r="AF36" s="183" t="e">
        <f>#REF!</f>
        <v>#REF!</v>
      </c>
      <c r="AG36" s="187"/>
      <c r="AH36" s="182" t="e">
        <f>AE36</f>
        <v>#REF!</v>
      </c>
      <c r="AI36" s="182" t="e">
        <f>AF36</f>
        <v>#REF!</v>
      </c>
      <c r="AJ36" s="187"/>
      <c r="AK36" s="182" t="e">
        <f>#REF!</f>
        <v>#REF!</v>
      </c>
      <c r="AL36" s="182" t="e">
        <f>#REF!</f>
        <v>#REF!</v>
      </c>
      <c r="AM36" s="187"/>
    </row>
    <row r="37" spans="4:39" ht="27.75" customHeight="1">
      <c r="D37" s="1">
        <v>37</v>
      </c>
      <c r="AB37" s="411" t="s">
        <v>956</v>
      </c>
      <c r="AC37" s="170" t="s">
        <v>1502</v>
      </c>
      <c r="AD37" s="80" t="s">
        <v>1503</v>
      </c>
      <c r="AE37" s="183">
        <f>IFERROR((AE35/AE36/6*1000),0)</f>
        <v>0</v>
      </c>
      <c r="AF37" s="183">
        <f>IFERROR((AF35/AF36/6*1000),0)</f>
        <v>0</v>
      </c>
      <c r="AG37" s="187"/>
      <c r="AH37" s="183" t="e">
        <f>IF(AH36/6*1000=0,0,AH35/AH36/6*1000)</f>
        <v>#REF!</v>
      </c>
      <c r="AI37" s="183" t="e">
        <f>IF(AI36/6*1000=0,0,AI35/AI36/6*1000)</f>
        <v>#REF!</v>
      </c>
      <c r="AJ37" s="187"/>
      <c r="AK37" s="183" t="e">
        <f>IF(AK36/6*1000=0,0,AK35/AK36/6*1000)</f>
        <v>#REF!</v>
      </c>
      <c r="AL37" s="183" t="e">
        <f>IF(AL36/6*1000=0,0,AL35/AL36/6*1000)</f>
        <v>#REF!</v>
      </c>
      <c r="AM37" s="187"/>
    </row>
    <row r="38" spans="4:39" ht="13.5" customHeight="1">
      <c r="D38" s="1">
        <v>18</v>
      </c>
      <c r="AB38" s="411" t="s">
        <v>762</v>
      </c>
      <c r="AC38" s="170" t="s">
        <v>1504</v>
      </c>
      <c r="AD38" s="80" t="s">
        <v>1218</v>
      </c>
      <c r="AE38" s="183" t="e">
        <f>AE39*AE40*10</f>
        <v>#REF!</v>
      </c>
      <c r="AF38" s="183" t="e">
        <f>AF39*AF40*10</f>
        <v>#REF!</v>
      </c>
      <c r="AG38" s="183" t="e">
        <f>AF38+AE38</f>
        <v>#REF!</v>
      </c>
      <c r="AH38" s="183" t="e">
        <f>AH39*AH40*10</f>
        <v>#REF!</v>
      </c>
      <c r="AI38" s="183" t="e">
        <f>AI39*AI40*10</f>
        <v>#REF!</v>
      </c>
      <c r="AJ38" s="183" t="e">
        <f>AI38+AH38</f>
        <v>#REF!</v>
      </c>
      <c r="AK38" s="183" t="e">
        <f>AK39*AK40*10</f>
        <v>#REF!</v>
      </c>
      <c r="AL38" s="183" t="e">
        <f>AL39*AL40*10</f>
        <v>#REF!</v>
      </c>
      <c r="AM38" s="183" t="e">
        <f>AL38+AK38</f>
        <v>#REF!</v>
      </c>
    </row>
    <row r="39" spans="4:39" ht="13.5" customHeight="1">
      <c r="D39" s="1">
        <v>18</v>
      </c>
      <c r="AB39" s="411" t="s">
        <v>935</v>
      </c>
      <c r="AC39" s="170" t="s">
        <v>1505</v>
      </c>
      <c r="AD39" s="80" t="s">
        <v>2118</v>
      </c>
      <c r="AE39" s="183" t="e">
        <f>#REF!+#REF!</f>
        <v>#REF!</v>
      </c>
      <c r="AF39" s="183" t="e">
        <f>#REF!+#REF!</f>
        <v>#REF!</v>
      </c>
      <c r="AG39" s="187"/>
      <c r="AH39" s="182" t="e">
        <f>AE39</f>
        <v>#REF!</v>
      </c>
      <c r="AI39" s="182" t="e">
        <f>AF39</f>
        <v>#REF!</v>
      </c>
      <c r="AJ39" s="187"/>
      <c r="AK39" s="183" t="e">
        <f>#REF!+#REF!</f>
        <v>#REF!</v>
      </c>
      <c r="AL39" s="183" t="e">
        <f>#REF!+#REF!</f>
        <v>#REF!</v>
      </c>
      <c r="AM39" s="187"/>
    </row>
    <row r="40" spans="4:39" ht="13.5" customHeight="1">
      <c r="D40" s="1">
        <v>18</v>
      </c>
      <c r="AB40" s="411" t="s">
        <v>936</v>
      </c>
      <c r="AC40" s="170" t="s">
        <v>1509</v>
      </c>
      <c r="AD40" s="80" t="s">
        <v>2296</v>
      </c>
      <c r="AE40" s="183">
        <f>IFERROR(#REF!/(10*AE39),0)</f>
        <v>0</v>
      </c>
      <c r="AF40" s="183">
        <f>IFERROR(#REF!/(10*AF39),0)</f>
        <v>0</v>
      </c>
      <c r="AG40" s="183">
        <f>AF40+AE40</f>
        <v>0</v>
      </c>
      <c r="AH40" s="182" t="e">
        <f>AE40*(1+$AJ$29)</f>
        <v>#REF!</v>
      </c>
      <c r="AI40" s="182" t="e">
        <f>AF40*(1+$AJ$29)</f>
        <v>#REF!</v>
      </c>
      <c r="AJ40" s="183" t="e">
        <f>AI40+AH40</f>
        <v>#REF!</v>
      </c>
      <c r="AK40" s="183">
        <f>IFERROR(#REF!/(10*AK39),0)</f>
        <v>0</v>
      </c>
      <c r="AL40" s="183">
        <f>IFERROR(#REF!/(10*AL39),0)</f>
        <v>0</v>
      </c>
      <c r="AM40" s="187"/>
    </row>
    <row r="41" spans="4:39" ht="53.25" customHeight="1">
      <c r="D41" s="1">
        <v>71</v>
      </c>
      <c r="AB41" s="559"/>
      <c r="AC41" s="1201" t="s">
        <v>2297</v>
      </c>
      <c r="AD41" s="1202"/>
      <c r="AE41" s="187"/>
      <c r="AF41" s="187"/>
      <c r="AG41" s="187"/>
      <c r="AH41" s="187"/>
      <c r="AI41" s="187"/>
      <c r="AJ41" s="187"/>
      <c r="AK41" s="187"/>
      <c r="AL41" s="187"/>
      <c r="AM41" s="187"/>
    </row>
    <row r="42" spans="4:39" ht="13.5" customHeight="1">
      <c r="D42" s="1">
        <v>18</v>
      </c>
      <c r="AB42" s="411" t="s">
        <v>532</v>
      </c>
      <c r="AC42" s="77" t="s">
        <v>2298</v>
      </c>
      <c r="AD42" s="80" t="s">
        <v>1218</v>
      </c>
      <c r="AE42" s="183" t="e">
        <f t="shared" ref="AE42:AE49" si="0">AG42*AE$28</f>
        <v>#REF!</v>
      </c>
      <c r="AF42" s="183" t="e">
        <f t="shared" ref="AF42:AF49" si="1">AG42*AF$28</f>
        <v>#REF!</v>
      </c>
      <c r="AG42" s="183">
        <f>IF(REGULATION_METHODS="Метод экономически обоснованных расходов (затрат)",(#REF!+#REF!)*AG87,0)</f>
        <v>0</v>
      </c>
      <c r="AH42" s="183" t="e">
        <f t="shared" ref="AH42:AI47" si="2">AE42*(1+$AJ$29)</f>
        <v>#REF!</v>
      </c>
      <c r="AI42" s="183" t="e">
        <f t="shared" si="2"/>
        <v>#REF!</v>
      </c>
      <c r="AJ42" s="187"/>
      <c r="AK42" s="183" t="e">
        <f>AM42*AK$28</f>
        <v>#REF!</v>
      </c>
      <c r="AL42" s="183" t="e">
        <f>AM42*AL$28</f>
        <v>#REF!</v>
      </c>
      <c r="AM42" s="183">
        <f>IF(REGULATION_METHODS="Метод экономически обоснованных расходов (затрат)",(#REF!+#REF!)*AM87,0)</f>
        <v>0</v>
      </c>
    </row>
    <row r="43" spans="4:39" ht="13.5" customHeight="1">
      <c r="D43" s="1">
        <v>18</v>
      </c>
      <c r="AB43" s="411" t="s">
        <v>534</v>
      </c>
      <c r="AC43" s="77" t="s">
        <v>2009</v>
      </c>
      <c r="AD43" s="80" t="s">
        <v>1218</v>
      </c>
      <c r="AE43" s="183" t="e">
        <f t="shared" si="0"/>
        <v>#REF!</v>
      </c>
      <c r="AF43" s="183" t="e">
        <f t="shared" si="1"/>
        <v>#REF!</v>
      </c>
      <c r="AG43" s="183">
        <f>IF(REGULATION_METHODS="Метод экономически обоснованных расходов (затрат)",#REF!*AG87,0)</f>
        <v>0</v>
      </c>
      <c r="AH43" s="183" t="e">
        <f t="shared" si="2"/>
        <v>#REF!</v>
      </c>
      <c r="AI43" s="183" t="e">
        <f t="shared" si="2"/>
        <v>#REF!</v>
      </c>
      <c r="AJ43" s="187"/>
      <c r="AK43" s="183" t="e">
        <f>AM43*AK$28</f>
        <v>#REF!</v>
      </c>
      <c r="AL43" s="183" t="e">
        <f>AM43*AL$28</f>
        <v>#REF!</v>
      </c>
      <c r="AM43" s="183">
        <f>IF(REGULATION_METHODS="Метод экономически обоснованных расходов (затрат)",#REF!*AM87,0)</f>
        <v>0</v>
      </c>
    </row>
    <row r="44" spans="4:39" ht="13.5" customHeight="1">
      <c r="D44" s="1">
        <v>18</v>
      </c>
      <c r="AB44" s="411" t="s">
        <v>665</v>
      </c>
      <c r="AC44" s="170" t="s">
        <v>2299</v>
      </c>
      <c r="AD44" s="80" t="s">
        <v>1218</v>
      </c>
      <c r="AE44" s="183" t="e">
        <f t="shared" si="0"/>
        <v>#REF!</v>
      </c>
      <c r="AF44" s="183" t="e">
        <f t="shared" si="1"/>
        <v>#REF!</v>
      </c>
      <c r="AG44" s="182"/>
      <c r="AH44" s="183" t="e">
        <f t="shared" si="2"/>
        <v>#REF!</v>
      </c>
      <c r="AI44" s="183" t="e">
        <f t="shared" si="2"/>
        <v>#REF!</v>
      </c>
      <c r="AJ44" s="187"/>
      <c r="AK44" s="182"/>
      <c r="AL44" s="182"/>
      <c r="AM44" s="182"/>
    </row>
    <row r="45" spans="4:39" ht="13.5" customHeight="1">
      <c r="D45" s="1">
        <v>18</v>
      </c>
      <c r="AB45" s="411" t="s">
        <v>536</v>
      </c>
      <c r="AC45" s="77" t="s">
        <v>576</v>
      </c>
      <c r="AD45" s="80" t="s">
        <v>1218</v>
      </c>
      <c r="AE45" s="183" t="e">
        <f t="shared" si="0"/>
        <v>#REF!</v>
      </c>
      <c r="AF45" s="183" t="e">
        <f t="shared" si="1"/>
        <v>#REF!</v>
      </c>
      <c r="AG45" s="183">
        <f>IF(REGULATION_METHODS="Метод экономически обоснованных расходов (затрат)",#REF!*AG87,0)</f>
        <v>0</v>
      </c>
      <c r="AH45" s="183" t="e">
        <f t="shared" si="2"/>
        <v>#REF!</v>
      </c>
      <c r="AI45" s="183" t="e">
        <f t="shared" si="2"/>
        <v>#REF!</v>
      </c>
      <c r="AJ45" s="187"/>
      <c r="AK45" s="183" t="e">
        <f>AM45*AK$28</f>
        <v>#REF!</v>
      </c>
      <c r="AL45" s="183" t="e">
        <f>AM45*AL$28</f>
        <v>#REF!</v>
      </c>
      <c r="AM45" s="183">
        <f>IF(REGULATION_METHODS="Метод экономически обоснованных расходов (затрат)",#REF!*AM87,0)</f>
        <v>0</v>
      </c>
    </row>
    <row r="46" spans="4:39" ht="13.5" customHeight="1">
      <c r="D46" s="1">
        <v>18</v>
      </c>
      <c r="AB46" s="411" t="s">
        <v>705</v>
      </c>
      <c r="AC46" s="170" t="s">
        <v>2299</v>
      </c>
      <c r="AD46" s="80" t="s">
        <v>1218</v>
      </c>
      <c r="AE46" s="183" t="e">
        <f t="shared" si="0"/>
        <v>#REF!</v>
      </c>
      <c r="AF46" s="183" t="e">
        <f t="shared" si="1"/>
        <v>#REF!</v>
      </c>
      <c r="AG46" s="182"/>
      <c r="AH46" s="183" t="e">
        <f t="shared" si="2"/>
        <v>#REF!</v>
      </c>
      <c r="AI46" s="183" t="e">
        <f t="shared" si="2"/>
        <v>#REF!</v>
      </c>
      <c r="AJ46" s="187"/>
      <c r="AK46" s="182"/>
      <c r="AL46" s="182"/>
      <c r="AM46" s="182"/>
    </row>
    <row r="47" spans="4:39" ht="13.5" customHeight="1">
      <c r="D47" s="1">
        <v>18</v>
      </c>
      <c r="AB47" s="411" t="s">
        <v>541</v>
      </c>
      <c r="AC47" s="77" t="s">
        <v>2300</v>
      </c>
      <c r="AD47" s="80" t="s">
        <v>1218</v>
      </c>
      <c r="AE47" s="183" t="e">
        <f t="shared" si="0"/>
        <v>#REF!</v>
      </c>
      <c r="AF47" s="183" t="e">
        <f t="shared" si="1"/>
        <v>#REF!</v>
      </c>
      <c r="AG47" s="183">
        <f>IF(REGULATION_METHODS="Метод экономически обоснованных расходов (затрат)",#REF!*AG87,0)</f>
        <v>0</v>
      </c>
      <c r="AH47" s="183" t="e">
        <f t="shared" si="2"/>
        <v>#REF!</v>
      </c>
      <c r="AI47" s="183" t="e">
        <f t="shared" si="2"/>
        <v>#REF!</v>
      </c>
      <c r="AJ47" s="187"/>
      <c r="AK47" s="183" t="e">
        <f>AM47*AK$28</f>
        <v>#REF!</v>
      </c>
      <c r="AL47" s="183" t="e">
        <f>AM47*AL$28</f>
        <v>#REF!</v>
      </c>
      <c r="AM47" s="183">
        <f>IF(REGULATION_METHODS="Метод экономически обоснованных расходов (затрат)",#REF!*AM87,0)</f>
        <v>0</v>
      </c>
    </row>
    <row r="48" spans="4:39" ht="13.5" customHeight="1">
      <c r="D48" s="1">
        <v>18</v>
      </c>
      <c r="AB48" s="411" t="s">
        <v>543</v>
      </c>
      <c r="AC48" s="77" t="s">
        <v>2301</v>
      </c>
      <c r="AD48" s="80" t="s">
        <v>1218</v>
      </c>
      <c r="AE48" s="183" t="e">
        <f t="shared" si="0"/>
        <v>#REF!</v>
      </c>
      <c r="AF48" s="183" t="e">
        <f t="shared" si="1"/>
        <v>#REF!</v>
      </c>
      <c r="AG48" s="183">
        <f>AG49+AG50</f>
        <v>0</v>
      </c>
      <c r="AH48" s="183" t="e">
        <f>AH49+AH50</f>
        <v>#REF!</v>
      </c>
      <c r="AI48" s="183" t="e">
        <f>AI49+AI50</f>
        <v>#REF!</v>
      </c>
      <c r="AJ48" s="187"/>
      <c r="AK48" s="183" t="e">
        <f>AK49+AK50</f>
        <v>#REF!</v>
      </c>
      <c r="AL48" s="183" t="e">
        <f>AL49+AL50</f>
        <v>#REF!</v>
      </c>
      <c r="AM48" s="183">
        <f>AM49+AM50</f>
        <v>0</v>
      </c>
    </row>
    <row r="49" spans="4:39" ht="27.75" customHeight="1">
      <c r="D49" s="1">
        <v>37</v>
      </c>
      <c r="AB49" s="411" t="s">
        <v>1277</v>
      </c>
      <c r="AC49" s="170" t="s">
        <v>2302</v>
      </c>
      <c r="AD49" s="80" t="s">
        <v>1218</v>
      </c>
      <c r="AE49" s="183" t="e">
        <f t="shared" si="0"/>
        <v>#REF!</v>
      </c>
      <c r="AF49" s="183" t="e">
        <f t="shared" si="1"/>
        <v>#REF!</v>
      </c>
      <c r="AG49" s="183">
        <f>IF(REGULATION_METHODS="Метод экономически обоснованных расходов (затрат)",#REF!*AG87,0)</f>
        <v>0</v>
      </c>
      <c r="AH49" s="183" t="e">
        <f>AE49*(1+$AJ$29)</f>
        <v>#REF!</v>
      </c>
      <c r="AI49" s="183" t="e">
        <f>AF49*(1+$AJ$29)</f>
        <v>#REF!</v>
      </c>
      <c r="AJ49" s="187"/>
      <c r="AK49" s="183" t="e">
        <f>AM49*AK$28</f>
        <v>#REF!</v>
      </c>
      <c r="AL49" s="183" t="e">
        <f>AM49*AL$28</f>
        <v>#REF!</v>
      </c>
      <c r="AM49" s="183">
        <f>IF(REGULATION_METHODS="Метод экономически обоснованных расходов (затрат)",#REF!*AM87,0)</f>
        <v>0</v>
      </c>
    </row>
    <row r="50" spans="4:39" ht="27.75" customHeight="1">
      <c r="D50" s="1">
        <v>37</v>
      </c>
      <c r="AB50" s="411" t="s">
        <v>2106</v>
      </c>
      <c r="AC50" s="170" t="s">
        <v>2303</v>
      </c>
      <c r="AD50" s="80" t="s">
        <v>1218</v>
      </c>
      <c r="AE50" s="183">
        <f>IF(AG50=0,0,($AG50+AG34)*AE$28-AE34)</f>
        <v>0</v>
      </c>
      <c r="AF50" s="183">
        <f>IF(AG50=0,0,($AG50+AG34)*AF$28-AF34)</f>
        <v>0</v>
      </c>
      <c r="AG50" s="183">
        <f>IF(REGULATION_METHODS="Метод экономически обоснованных расходов (затрат)",(#REF!-#REF!+#REF!+#REF!+#REF!-AG42-AG43-AG45-AG47-AG49-AG58-AG59-AG60)*AG87,0)</f>
        <v>0</v>
      </c>
      <c r="AH50" s="183" t="e">
        <f>AE50*(1+$AJ$29)</f>
        <v>#REF!</v>
      </c>
      <c r="AI50" s="183" t="e">
        <f>AF50*(1+$AJ$29)</f>
        <v>#REF!</v>
      </c>
      <c r="AJ50" s="187"/>
      <c r="AK50" s="183">
        <f>IF(REGULATION_METHODS="Метод экономически обоснованных расходов (затрат)",($AM50+AM34)*AK$28-AK34,0)</f>
        <v>0</v>
      </c>
      <c r="AL50" s="183">
        <f>IF(REGULATION_METHODS="Метод экономически обоснованных расходов (затрат)",($AM50+AM34)*AL$28-AL34,)</f>
        <v>0</v>
      </c>
      <c r="AM50" s="183">
        <f>IF(REGULATION_METHODS="Метод экономически обоснованных расходов (затрат)",(#REF!-#REF!+#REF!+#REF!+#REF!-AM42-AM43-AM45-AM47-AM49-AM58-AM59-AM60)*AM87,0)</f>
        <v>0</v>
      </c>
    </row>
    <row r="51" spans="4:39" ht="41.25" customHeight="1">
      <c r="D51" s="1">
        <v>55</v>
      </c>
      <c r="AB51" s="481" t="s">
        <v>548</v>
      </c>
      <c r="AC51" s="534" t="s">
        <v>2304</v>
      </c>
      <c r="AD51" s="179" t="s">
        <v>1218</v>
      </c>
      <c r="AE51" s="188" t="e">
        <f>AE42+AE43+AE45+AE47+AE48</f>
        <v>#REF!</v>
      </c>
      <c r="AF51" s="188" t="e">
        <f>AF42+AF43+AF45+AF47+AF48</f>
        <v>#REF!</v>
      </c>
      <c r="AG51" s="188">
        <f>AG42+AG43+AG45+AG47+AG48</f>
        <v>0</v>
      </c>
      <c r="AH51" s="188" t="e">
        <f>AH42+AH43+AH45+AH47+AH48</f>
        <v>#REF!</v>
      </c>
      <c r="AI51" s="188" t="e">
        <f>AI42+AI43+AI45+AI47+AI48</f>
        <v>#REF!</v>
      </c>
      <c r="AJ51" s="187"/>
      <c r="AK51" s="188" t="e">
        <f>AK42+AK43+AK45+AK47+AK48</f>
        <v>#REF!</v>
      </c>
      <c r="AL51" s="188" t="e">
        <f>AL42+AL43+AL45+AL47+AL48</f>
        <v>#REF!</v>
      </c>
      <c r="AM51" s="188">
        <f>AM42+AM43+AM45+AM47+AM48</f>
        <v>0</v>
      </c>
    </row>
    <row r="52" spans="4:39" ht="13.5" customHeight="1">
      <c r="D52" s="1">
        <v>18</v>
      </c>
      <c r="AB52" s="411" t="s">
        <v>550</v>
      </c>
      <c r="AC52" s="77" t="s">
        <v>2305</v>
      </c>
      <c r="AD52" s="80" t="s">
        <v>1218</v>
      </c>
      <c r="AE52" s="183" t="e">
        <f>AG52*AE$28</f>
        <v>#REF!</v>
      </c>
      <c r="AF52" s="183" t="e">
        <f>AG52*AF$28</f>
        <v>#REF!</v>
      </c>
      <c r="AG52" s="183">
        <f>IF(REGULATION_METHODS="Метод экономически обоснованных расходов (затрат)",IF(#REF!&gt;0,#REF!*AG87+AG53,0),0)</f>
        <v>0</v>
      </c>
      <c r="AH52" s="183" t="e">
        <f t="shared" ref="AH52:AI55" si="3">AE52*(1+$AJ$29)</f>
        <v>#REF!</v>
      </c>
      <c r="AI52" s="183" t="e">
        <f t="shared" si="3"/>
        <v>#REF!</v>
      </c>
      <c r="AJ52" s="187"/>
      <c r="AK52" s="183" t="e">
        <f>AM52*AK$28</f>
        <v>#REF!</v>
      </c>
      <c r="AL52" s="183" t="e">
        <f>AM52*AL$28</f>
        <v>#REF!</v>
      </c>
      <c r="AM52" s="183">
        <f>IF(REGULATION_METHODS="Метод экономически обоснованных расходов (затрат)",IF(#REF!&gt;0,#REF!*AM87+AM53,0),0)</f>
        <v>0</v>
      </c>
    </row>
    <row r="53" spans="4:39" ht="13.5" customHeight="1">
      <c r="D53" s="1">
        <v>18</v>
      </c>
      <c r="AB53" s="411" t="s">
        <v>926</v>
      </c>
      <c r="AC53" s="170" t="s">
        <v>2306</v>
      </c>
      <c r="AD53" s="80" t="s">
        <v>1218</v>
      </c>
      <c r="AE53" s="183" t="e">
        <f>AG53*AE$28</f>
        <v>#REF!</v>
      </c>
      <c r="AF53" s="183" t="e">
        <f>AG53*AF$28</f>
        <v>#REF!</v>
      </c>
      <c r="AG53" s="182"/>
      <c r="AH53" s="183" t="e">
        <f t="shared" si="3"/>
        <v>#REF!</v>
      </c>
      <c r="AI53" s="183" t="e">
        <f t="shared" si="3"/>
        <v>#REF!</v>
      </c>
      <c r="AJ53" s="187"/>
      <c r="AK53" s="182"/>
      <c r="AL53" s="182"/>
      <c r="AM53" s="182"/>
    </row>
    <row r="54" spans="4:39" ht="13.5" customHeight="1">
      <c r="D54" s="1">
        <v>18</v>
      </c>
      <c r="AB54" s="411" t="s">
        <v>927</v>
      </c>
      <c r="AC54" s="170" t="s">
        <v>2307</v>
      </c>
      <c r="AD54" s="80" t="s">
        <v>1218</v>
      </c>
      <c r="AE54" s="183" t="e">
        <f>AG54*AE$28</f>
        <v>#REF!</v>
      </c>
      <c r="AF54" s="183" t="e">
        <f>AG54*AF$28</f>
        <v>#REF!</v>
      </c>
      <c r="AG54" s="183">
        <f>IF(REGULATION_METHODS="Метод экономически обоснованных расходов (затрат)",#REF!*AG87,0)</f>
        <v>0</v>
      </c>
      <c r="AH54" s="183" t="e">
        <f t="shared" si="3"/>
        <v>#REF!</v>
      </c>
      <c r="AI54" s="183" t="e">
        <f t="shared" si="3"/>
        <v>#REF!</v>
      </c>
      <c r="AJ54" s="187"/>
      <c r="AK54" s="183" t="e">
        <f>AM54*AK$28</f>
        <v>#REF!</v>
      </c>
      <c r="AL54" s="183" t="e">
        <f>AM54*AL$28</f>
        <v>#REF!</v>
      </c>
      <c r="AM54" s="183">
        <f>IF(REGULATION_METHODS="Метод экономически обоснованных расходов (затрат)",#REF!*AM87,0)</f>
        <v>0</v>
      </c>
    </row>
    <row r="55" spans="4:39" ht="27.75" customHeight="1">
      <c r="D55" s="1">
        <v>37</v>
      </c>
      <c r="AB55" s="411" t="s">
        <v>551</v>
      </c>
      <c r="AC55" s="77" t="s">
        <v>2308</v>
      </c>
      <c r="AD55" s="80" t="s">
        <v>1218</v>
      </c>
      <c r="AE55" s="183" t="e">
        <f>AG55*AE$28</f>
        <v>#REF!</v>
      </c>
      <c r="AF55" s="183" t="e">
        <f>AG55*AF$28</f>
        <v>#REF!</v>
      </c>
      <c r="AG55" s="183">
        <f>IF(REGULATION_METHODS="Метод экономически обоснованных расходов (затрат)",IF(#REF!&lt;0,-#REF!*AG87,0),0)</f>
        <v>0</v>
      </c>
      <c r="AH55" s="183" t="e">
        <f t="shared" si="3"/>
        <v>#REF!</v>
      </c>
      <c r="AI55" s="183" t="e">
        <f t="shared" si="3"/>
        <v>#REF!</v>
      </c>
      <c r="AJ55" s="187"/>
      <c r="AK55" s="183" t="e">
        <f>AM55*AK$28</f>
        <v>#REF!</v>
      </c>
      <c r="AL55" s="183" t="e">
        <f>AM55*AL$28</f>
        <v>#REF!</v>
      </c>
      <c r="AM55" s="183">
        <f>IF(REGULATION_METHODS="Метод экономически обоснованных расходов (затрат)",IF(#REF!&lt;0,-#REF!*AM87,0),0)</f>
        <v>0</v>
      </c>
    </row>
    <row r="56" spans="4:39" ht="55.5" customHeight="1">
      <c r="D56" s="1">
        <v>74</v>
      </c>
      <c r="AB56" s="481" t="s">
        <v>552</v>
      </c>
      <c r="AC56" s="534" t="s">
        <v>2309</v>
      </c>
      <c r="AD56" s="179" t="s">
        <v>1218</v>
      </c>
      <c r="AE56" s="188" t="e">
        <f>AE51+AE52-AE55</f>
        <v>#REF!</v>
      </c>
      <c r="AF56" s="188" t="e">
        <f>AF51+AF52-AF55</f>
        <v>#REF!</v>
      </c>
      <c r="AG56" s="188">
        <f>AG51+AG52-AG55</f>
        <v>0</v>
      </c>
      <c r="AH56" s="188" t="e">
        <f>AH51+AH52-AH55</f>
        <v>#REF!</v>
      </c>
      <c r="AI56" s="188" t="e">
        <f>AI51+AI52-AI55</f>
        <v>#REF!</v>
      </c>
      <c r="AJ56" s="187"/>
      <c r="AK56" s="188" t="e">
        <f>AK51+AK52-AK55</f>
        <v>#REF!</v>
      </c>
      <c r="AL56" s="188" t="e">
        <f>AL51+AL52-AL55</f>
        <v>#REF!</v>
      </c>
      <c r="AM56" s="188">
        <f>AM51+AM52-AM55</f>
        <v>0</v>
      </c>
    </row>
    <row r="57" spans="4:39" ht="13.5" customHeight="1">
      <c r="D57" s="1">
        <v>18</v>
      </c>
      <c r="AB57" s="411" t="s">
        <v>553</v>
      </c>
      <c r="AC57" s="77" t="s">
        <v>2137</v>
      </c>
      <c r="AD57" s="80" t="s">
        <v>1218</v>
      </c>
      <c r="AE57" s="183" t="e">
        <f>AG57*AE$28</f>
        <v>#REF!</v>
      </c>
      <c r="AF57" s="183" t="e">
        <f>AG57*AF$28</f>
        <v>#REF!</v>
      </c>
      <c r="AG57" s="183">
        <f>AG58</f>
        <v>0</v>
      </c>
      <c r="AH57" s="183" t="e">
        <f t="shared" ref="AH57:AI60" si="4">AE57*(1+$AJ$29)</f>
        <v>#REF!</v>
      </c>
      <c r="AI57" s="183" t="e">
        <f t="shared" si="4"/>
        <v>#REF!</v>
      </c>
      <c r="AJ57" s="187"/>
      <c r="AK57" s="183" t="e">
        <f>AM57*AK$28</f>
        <v>#REF!</v>
      </c>
      <c r="AL57" s="183" t="e">
        <f>AM57*AL$28</f>
        <v>#REF!</v>
      </c>
      <c r="AM57" s="183">
        <f>AM58</f>
        <v>0</v>
      </c>
    </row>
    <row r="58" spans="4:39" ht="13.5" customHeight="1">
      <c r="D58" s="1">
        <v>18</v>
      </c>
      <c r="AB58" s="411" t="s">
        <v>2310</v>
      </c>
      <c r="AC58" s="170" t="s">
        <v>2311</v>
      </c>
      <c r="AD58" s="80" t="s">
        <v>1218</v>
      </c>
      <c r="AE58" s="183" t="e">
        <f>AG58*AE$28</f>
        <v>#REF!</v>
      </c>
      <c r="AF58" s="183" t="e">
        <f>AG58*AF$28</f>
        <v>#REF!</v>
      </c>
      <c r="AG58" s="183">
        <f>IF(REGULATION_METHODS="Метод экономически обоснованных расходов (затрат)",#REF!*AG87,0)</f>
        <v>0</v>
      </c>
      <c r="AH58" s="183" t="e">
        <f t="shared" si="4"/>
        <v>#REF!</v>
      </c>
      <c r="AI58" s="183" t="e">
        <f t="shared" si="4"/>
        <v>#REF!</v>
      </c>
      <c r="AJ58" s="187"/>
      <c r="AK58" s="183" t="e">
        <f>AM58*AK$28</f>
        <v>#REF!</v>
      </c>
      <c r="AL58" s="183" t="e">
        <f>AM58*AL$28</f>
        <v>#REF!</v>
      </c>
      <c r="AM58" s="183">
        <f>IF(REGULATION_METHODS="Метод экономически обоснованных расходов (затрат)",#REF!*AM87,0)</f>
        <v>0</v>
      </c>
    </row>
    <row r="59" spans="4:39" ht="13.5" customHeight="1">
      <c r="D59" s="1">
        <v>18</v>
      </c>
      <c r="AB59" s="411" t="s">
        <v>554</v>
      </c>
      <c r="AC59" s="77" t="s">
        <v>981</v>
      </c>
      <c r="AD59" s="80" t="s">
        <v>1218</v>
      </c>
      <c r="AE59" s="183" t="e">
        <f>AG59*AE$28</f>
        <v>#REF!</v>
      </c>
      <c r="AF59" s="183" t="e">
        <f>AG59*AF$28</f>
        <v>#REF!</v>
      </c>
      <c r="AG59" s="183">
        <f>IF(REGULATION_METHODS="Метод экономически обоснованных расходов (затрат)",(#REF!+#REF!)*AG87,0)</f>
        <v>0</v>
      </c>
      <c r="AH59" s="183" t="e">
        <f t="shared" si="4"/>
        <v>#REF!</v>
      </c>
      <c r="AI59" s="183" t="e">
        <f t="shared" si="4"/>
        <v>#REF!</v>
      </c>
      <c r="AJ59" s="187"/>
      <c r="AK59" s="183" t="e">
        <f>AM59*AK$28</f>
        <v>#REF!</v>
      </c>
      <c r="AL59" s="183" t="e">
        <f>AM59*AL$28</f>
        <v>#REF!</v>
      </c>
      <c r="AM59" s="78">
        <f>IF(REGULATION_METHODS="Метод экономически обоснованных расходов (затрат)",(#REF!+#REF!)*AM87,0)</f>
        <v>0</v>
      </c>
    </row>
    <row r="60" spans="4:39" ht="13.5" customHeight="1">
      <c r="D60" s="1">
        <v>18</v>
      </c>
      <c r="AB60" s="411" t="s">
        <v>555</v>
      </c>
      <c r="AC60" s="77" t="s">
        <v>2312</v>
      </c>
      <c r="AD60" s="80" t="s">
        <v>1218</v>
      </c>
      <c r="AE60" s="183" t="e">
        <f>AG60*AE$28</f>
        <v>#REF!</v>
      </c>
      <c r="AF60" s="183" t="e">
        <f>AG60*AF$28</f>
        <v>#REF!</v>
      </c>
      <c r="AG60" s="183">
        <f>IF(REGULATION_METHODS="Метод экономически обоснованных расходов (затрат)",(#REF!+#REF!)*AG87,0)</f>
        <v>0</v>
      </c>
      <c r="AH60" s="183" t="e">
        <f t="shared" si="4"/>
        <v>#REF!</v>
      </c>
      <c r="AI60" s="183" t="e">
        <f t="shared" si="4"/>
        <v>#REF!</v>
      </c>
      <c r="AJ60" s="187"/>
      <c r="AK60" s="183" t="e">
        <f>AM60*AK$28</f>
        <v>#REF!</v>
      </c>
      <c r="AL60" s="183" t="e">
        <f>AM60*AL$28</f>
        <v>#REF!</v>
      </c>
      <c r="AM60" s="183">
        <f>IF(REGULATION_METHODS="Метод экономически обоснованных расходов (затрат)",(#REF!+#REF!)*AM87,0)</f>
        <v>0</v>
      </c>
    </row>
    <row r="61" spans="4:39" ht="41.25" customHeight="1">
      <c r="D61" s="1">
        <v>55</v>
      </c>
      <c r="AB61" s="481" t="s">
        <v>556</v>
      </c>
      <c r="AC61" s="534" t="s">
        <v>2313</v>
      </c>
      <c r="AD61" s="179" t="s">
        <v>1218</v>
      </c>
      <c r="AE61" s="560" t="e">
        <f>AE57+AE59+AE60</f>
        <v>#REF!</v>
      </c>
      <c r="AF61" s="560" t="e">
        <f>AF57+AF59+AF60</f>
        <v>#REF!</v>
      </c>
      <c r="AG61" s="560">
        <f>AG57+AG59+AG60</f>
        <v>0</v>
      </c>
      <c r="AH61" s="560" t="e">
        <f>AH57+AH59+AH60</f>
        <v>#REF!</v>
      </c>
      <c r="AI61" s="560" t="e">
        <f>AI57+AI59+AI60</f>
        <v>#REF!</v>
      </c>
      <c r="AJ61" s="187"/>
      <c r="AK61" s="560" t="e">
        <f>AK57+AK59+AK60</f>
        <v>#REF!</v>
      </c>
      <c r="AL61" s="560" t="e">
        <f>AL57+AL59+AL60</f>
        <v>#REF!</v>
      </c>
      <c r="AM61" s="560">
        <f>AM57+AM59+AM60</f>
        <v>0</v>
      </c>
    </row>
    <row r="62" spans="4:39" ht="43.5" customHeight="1">
      <c r="D62" s="1">
        <v>58</v>
      </c>
      <c r="AB62" s="561"/>
      <c r="AC62" s="1203" t="s">
        <v>2314</v>
      </c>
      <c r="AD62" s="1202"/>
      <c r="AE62" s="187"/>
      <c r="AF62" s="187"/>
      <c r="AG62" s="187"/>
      <c r="AH62" s="187"/>
      <c r="AI62" s="187"/>
      <c r="AJ62" s="187"/>
      <c r="AK62" s="187"/>
      <c r="AL62" s="187"/>
      <c r="AM62" s="187"/>
    </row>
    <row r="63" spans="4:39" ht="41.25" customHeight="1">
      <c r="D63" s="1">
        <v>55</v>
      </c>
      <c r="AB63" s="481" t="s">
        <v>563</v>
      </c>
      <c r="AC63" s="534" t="s">
        <v>2315</v>
      </c>
      <c r="AD63" s="179" t="s">
        <v>1218</v>
      </c>
      <c r="AE63" s="188" t="e">
        <f>AG63*AE$28</f>
        <v>#REF!</v>
      </c>
      <c r="AF63" s="188" t="e">
        <f>AG63*AF$28</f>
        <v>#REF!</v>
      </c>
      <c r="AG63" s="560" t="e">
        <f>IF(REGULATION_METHODS="Метод экономически обоснованных расходов (затрат)",0,IF(((#REF!+#REF!)*AG87-AG34-AG70-AG71-AG72-AG73)&lt;0,0,((#REF!+#REF!)*AG87-AG34-AG70-AG71-AG72-AG73-AG76)))</f>
        <v>#REF!</v>
      </c>
      <c r="AH63" s="188" t="e">
        <f>AE63*(1+$AJ$29)</f>
        <v>#REF!</v>
      </c>
      <c r="AI63" s="188" t="e">
        <f>AF63*(1+$AJ$29)</f>
        <v>#REF!</v>
      </c>
      <c r="AJ63" s="188" t="e">
        <f>AG63*(1+$AJ$29)</f>
        <v>#REF!</v>
      </c>
      <c r="AK63" s="188" t="e">
        <f>AM63*AK$28</f>
        <v>#REF!</v>
      </c>
      <c r="AL63" s="188" t="e">
        <f>AM63*AL$28</f>
        <v>#REF!</v>
      </c>
      <c r="AM63" s="560" t="e">
        <f>IF(REGULATION_METHODS="Метод экономически обоснованных расходов (затрат)",0,IF(((#REF!+#REF!)*AM87-AM34-AM70-AM71-AM72-AM73)&lt;0,0,((#REF!+#REF!)*AM87-AM34-AM70-AM71-AM72-AM73-AM76)))</f>
        <v>#REF!</v>
      </c>
    </row>
    <row r="64" spans="4:39" ht="13.5" customHeight="1">
      <c r="D64" s="1">
        <v>18</v>
      </c>
      <c r="AB64" s="481"/>
      <c r="AC64" s="241" t="s">
        <v>667</v>
      </c>
      <c r="AD64" s="179"/>
      <c r="AE64" s="179"/>
      <c r="AF64" s="179"/>
      <c r="AG64" s="179"/>
      <c r="AH64" s="179"/>
      <c r="AI64" s="179"/>
      <c r="AJ64" s="179"/>
      <c r="AK64" s="179"/>
      <c r="AL64" s="179"/>
      <c r="AM64" s="179"/>
    </row>
    <row r="65" spans="4:39" ht="69.75" customHeight="1">
      <c r="D65" s="1">
        <v>93</v>
      </c>
      <c r="AB65" s="174" t="s">
        <v>2316</v>
      </c>
      <c r="AC65" s="241" t="s">
        <v>2317</v>
      </c>
      <c r="AD65" s="80" t="s">
        <v>1218</v>
      </c>
      <c r="AE65" s="188" t="e">
        <f>AG65*$AE$28</f>
        <v>#REF!</v>
      </c>
      <c r="AF65" s="188" t="e">
        <f>AG65*AF$28</f>
        <v>#REF!</v>
      </c>
      <c r="AG65" s="188" t="e">
        <f>#REF!*AG87</f>
        <v>#REF!</v>
      </c>
      <c r="AH65" s="188" t="e">
        <f t="shared" ref="AH65:AJ67" si="5">AE65*(1+$AJ$29)</f>
        <v>#REF!</v>
      </c>
      <c r="AI65" s="188" t="e">
        <f t="shared" si="5"/>
        <v>#REF!</v>
      </c>
      <c r="AJ65" s="188" t="e">
        <f t="shared" si="5"/>
        <v>#REF!</v>
      </c>
      <c r="AK65" s="188" t="e">
        <f>AM65*AK$28</f>
        <v>#REF!</v>
      </c>
      <c r="AL65" s="188" t="e">
        <f>AM65*AL$28</f>
        <v>#REF!</v>
      </c>
      <c r="AM65" s="188" t="e">
        <f>#REF!*AM87</f>
        <v>#REF!</v>
      </c>
    </row>
    <row r="66" spans="4:39" ht="13.5" customHeight="1">
      <c r="D66" s="1">
        <v>18</v>
      </c>
      <c r="AB66" s="481" t="s">
        <v>564</v>
      </c>
      <c r="AC66" s="534" t="s">
        <v>2318</v>
      </c>
      <c r="AD66" s="179" t="s">
        <v>1218</v>
      </c>
      <c r="AE66" s="560" t="e">
        <f>IF(AE63=0,($AG66+AG34)*AE$28-AE34,AG66*AE$28)</f>
        <v>#REF!</v>
      </c>
      <c r="AF66" s="560" t="e">
        <f>IF(AF63=0,($AG66+AG34)*AF$28-AF34,AG66*AF$28)</f>
        <v>#REF!</v>
      </c>
      <c r="AG66" s="560" t="e">
        <f>IF(REGULATION_METHODS="Метод экономически обоснованных расходов (затрат)",0,IF(((#REF!+#REF!)*AG87-AG34-AG70-AG71-AG72)&lt;0,(#REF!)*AG87+((#REF!+#REF!)*AG87-AG34-AG70-AG71-AG72),(#REF!)*AG87))</f>
        <v>#REF!</v>
      </c>
      <c r="AH66" s="188" t="e">
        <f t="shared" si="5"/>
        <v>#REF!</v>
      </c>
      <c r="AI66" s="188" t="e">
        <f t="shared" si="5"/>
        <v>#REF!</v>
      </c>
      <c r="AJ66" s="188" t="e">
        <f t="shared" si="5"/>
        <v>#REF!</v>
      </c>
      <c r="AK66" s="560" t="e">
        <f>IF(AK63=0,($AM66+AM34)*AK$28-AK34,AM66*AK$28)</f>
        <v>#REF!</v>
      </c>
      <c r="AL66" s="560" t="e">
        <f>IF(AL63=0,($AM66+AM34)*AL$28-AL34,AM66*AL$28)</f>
        <v>#REF!</v>
      </c>
      <c r="AM66" s="560" t="e">
        <f>IF(REGULATION_METHODS="Метод экономически обоснованных расходов (затрат)",0,IF(((#REF!+#REF!)*AM87-AM34-AM70-AM71-AM72)&lt;0,(#REF!)*AM87+((#REF!+#REF!)*AM87-AM34-AM70-AM71-AM72),(#REF!)*AM87))</f>
        <v>#REF!</v>
      </c>
    </row>
    <row r="67" spans="4:39" ht="13.5" customHeight="1">
      <c r="D67" s="1">
        <v>18</v>
      </c>
      <c r="AB67" s="411" t="s">
        <v>2319</v>
      </c>
      <c r="AC67" s="170" t="s">
        <v>2009</v>
      </c>
      <c r="AD67" s="80" t="s">
        <v>1218</v>
      </c>
      <c r="AE67" s="183" t="e">
        <f t="shared" ref="AE67:AE76" si="6">AG67*AE$28</f>
        <v>#REF!</v>
      </c>
      <c r="AF67" s="183" t="e">
        <f t="shared" ref="AF67:AF76" si="7">AG67*AF$28</f>
        <v>#REF!</v>
      </c>
      <c r="AG67" s="183" t="e">
        <f>IF(REGULATION_METHODS="Метод экономически обоснованных расходов (затрат)",0,#REF!*AG87)</f>
        <v>#REF!</v>
      </c>
      <c r="AH67" s="183" t="e">
        <f t="shared" si="5"/>
        <v>#REF!</v>
      </c>
      <c r="AI67" s="183" t="e">
        <f t="shared" si="5"/>
        <v>#REF!</v>
      </c>
      <c r="AJ67" s="188" t="e">
        <f t="shared" si="5"/>
        <v>#REF!</v>
      </c>
      <c r="AK67" s="183" t="e">
        <f>AM67*AK$28</f>
        <v>#REF!</v>
      </c>
      <c r="AL67" s="183" t="e">
        <f>AM67*AL$28</f>
        <v>#REF!</v>
      </c>
      <c r="AM67" s="183" t="e">
        <f>IF(REGULATION_METHODS="Метод экономически обоснованных расходов (затрат)",0,#REF!*AM87)</f>
        <v>#REF!</v>
      </c>
    </row>
    <row r="68" spans="4:39" ht="13.5" customHeight="1">
      <c r="D68" s="1">
        <v>18</v>
      </c>
      <c r="AB68" s="411" t="s">
        <v>2320</v>
      </c>
      <c r="AC68" s="170" t="s">
        <v>2299</v>
      </c>
      <c r="AD68" s="80" t="s">
        <v>1218</v>
      </c>
      <c r="AE68" s="183" t="e">
        <f t="shared" si="6"/>
        <v>#REF!</v>
      </c>
      <c r="AF68" s="183" t="e">
        <f t="shared" si="7"/>
        <v>#REF!</v>
      </c>
      <c r="AG68" s="182"/>
      <c r="AH68" s="182"/>
      <c r="AI68" s="182"/>
      <c r="AJ68" s="188" t="e">
        <f t="shared" ref="AJ68:AJ76" si="8">AG68*(1+$AJ$29)</f>
        <v>#REF!</v>
      </c>
      <c r="AK68" s="182" t="e">
        <f>AK67</f>
        <v>#REF!</v>
      </c>
      <c r="AL68" s="182" t="e">
        <f>AL67</f>
        <v>#REF!</v>
      </c>
      <c r="AM68" s="182" t="e">
        <f>AM67</f>
        <v>#REF!</v>
      </c>
    </row>
    <row r="69" spans="4:39" ht="13.5" customHeight="1">
      <c r="D69" s="1">
        <v>18</v>
      </c>
      <c r="AB69" s="411" t="s">
        <v>2321</v>
      </c>
      <c r="AC69" s="170" t="s">
        <v>2322</v>
      </c>
      <c r="AD69" s="80" t="s">
        <v>1218</v>
      </c>
      <c r="AE69" s="183" t="e">
        <f t="shared" si="6"/>
        <v>#REF!</v>
      </c>
      <c r="AF69" s="183" t="e">
        <f t="shared" si="7"/>
        <v>#REF!</v>
      </c>
      <c r="AG69" s="183" t="e">
        <f>IF(REGULATION_METHODS="Метод экономически обоснованных расходов (затрат)",0,#REF!*AG87)</f>
        <v>#REF!</v>
      </c>
      <c r="AH69" s="183" t="e">
        <f t="shared" ref="AH69:AI76" si="9">AE69*(1+$AJ$29)</f>
        <v>#REF!</v>
      </c>
      <c r="AI69" s="183" t="e">
        <f t="shared" si="9"/>
        <v>#REF!</v>
      </c>
      <c r="AJ69" s="188" t="e">
        <f t="shared" si="8"/>
        <v>#REF!</v>
      </c>
      <c r="AK69" s="183" t="e">
        <f t="shared" ref="AK69:AK76" si="10">AM69*AK$28</f>
        <v>#REF!</v>
      </c>
      <c r="AL69" s="183" t="e">
        <f t="shared" ref="AL69:AL76" si="11">AM69*AL$28</f>
        <v>#REF!</v>
      </c>
      <c r="AM69" s="183" t="e">
        <f>IF(REGULATION_METHODS="Метод экономически обоснованных расходов (затрат)",0,#REF!*AM87)</f>
        <v>#REF!</v>
      </c>
    </row>
    <row r="70" spans="4:39" ht="13.5" customHeight="1">
      <c r="D70" s="1">
        <v>18</v>
      </c>
      <c r="AB70" s="481" t="s">
        <v>565</v>
      </c>
      <c r="AC70" s="534" t="s">
        <v>1113</v>
      </c>
      <c r="AD70" s="179" t="s">
        <v>1218</v>
      </c>
      <c r="AE70" s="560" t="e">
        <f t="shared" si="6"/>
        <v>#REF!</v>
      </c>
      <c r="AF70" s="560" t="e">
        <f t="shared" si="7"/>
        <v>#REF!</v>
      </c>
      <c r="AG70" s="560" t="e">
        <f>IF(REGULATION_METHODS="Метод экономически обоснованных расходов (затрат)",0,#REF!*AG87)</f>
        <v>#REF!</v>
      </c>
      <c r="AH70" s="188" t="e">
        <f t="shared" si="9"/>
        <v>#REF!</v>
      </c>
      <c r="AI70" s="188" t="e">
        <f t="shared" si="9"/>
        <v>#REF!</v>
      </c>
      <c r="AJ70" s="188" t="e">
        <f t="shared" si="8"/>
        <v>#REF!</v>
      </c>
      <c r="AK70" s="188" t="e">
        <f t="shared" si="10"/>
        <v>#REF!</v>
      </c>
      <c r="AL70" s="188" t="e">
        <f t="shared" si="11"/>
        <v>#REF!</v>
      </c>
      <c r="AM70" s="560" t="e">
        <f>IF(REGULATION_METHODS="Метод экономически обоснованных расходов (затрат)",0,#REF!*AM87)</f>
        <v>#REF!</v>
      </c>
    </row>
    <row r="71" spans="4:39" ht="13.5" customHeight="1">
      <c r="D71" s="1">
        <v>18</v>
      </c>
      <c r="AB71" s="481" t="s">
        <v>566</v>
      </c>
      <c r="AC71" s="534" t="s">
        <v>996</v>
      </c>
      <c r="AD71" s="179" t="s">
        <v>1218</v>
      </c>
      <c r="AE71" s="560" t="e">
        <f t="shared" si="6"/>
        <v>#REF!</v>
      </c>
      <c r="AF71" s="560" t="e">
        <f t="shared" si="7"/>
        <v>#REF!</v>
      </c>
      <c r="AG71" s="560" t="e">
        <f>IF(REGULATION_METHODS="Метод экономически обоснованных расходов (затрат)",0,#REF!*AG87)</f>
        <v>#REF!</v>
      </c>
      <c r="AH71" s="188" t="e">
        <f t="shared" si="9"/>
        <v>#REF!</v>
      </c>
      <c r="AI71" s="188" t="e">
        <f t="shared" si="9"/>
        <v>#REF!</v>
      </c>
      <c r="AJ71" s="188" t="e">
        <f t="shared" si="8"/>
        <v>#REF!</v>
      </c>
      <c r="AK71" s="188" t="e">
        <f t="shared" si="10"/>
        <v>#REF!</v>
      </c>
      <c r="AL71" s="188" t="e">
        <f t="shared" si="11"/>
        <v>#REF!</v>
      </c>
      <c r="AM71" s="560" t="e">
        <f>IF(REGULATION_METHODS="Метод экономически обоснованных расходов (затрат)",0,#REF!*AM87)</f>
        <v>#REF!</v>
      </c>
    </row>
    <row r="72" spans="4:39" ht="27.75" customHeight="1">
      <c r="D72" s="1">
        <v>37</v>
      </c>
      <c r="AB72" s="481" t="s">
        <v>567</v>
      </c>
      <c r="AC72" s="534" t="s">
        <v>2323</v>
      </c>
      <c r="AD72" s="179" t="s">
        <v>1218</v>
      </c>
      <c r="AE72" s="560" t="e">
        <f t="shared" si="6"/>
        <v>#REF!</v>
      </c>
      <c r="AF72" s="560" t="e">
        <f t="shared" si="7"/>
        <v>#REF!</v>
      </c>
      <c r="AG72" s="560" t="e">
        <f>IF(REGULATION_METHODS="Метод экономически обоснованных расходов (затрат)",0,#REF!*AG87)</f>
        <v>#REF!</v>
      </c>
      <c r="AH72" s="188" t="e">
        <f t="shared" si="9"/>
        <v>#REF!</v>
      </c>
      <c r="AI72" s="188" t="e">
        <f t="shared" si="9"/>
        <v>#REF!</v>
      </c>
      <c r="AJ72" s="188" t="e">
        <f t="shared" si="8"/>
        <v>#REF!</v>
      </c>
      <c r="AK72" s="188" t="e">
        <f t="shared" si="10"/>
        <v>#REF!</v>
      </c>
      <c r="AL72" s="188" t="e">
        <f t="shared" si="11"/>
        <v>#REF!</v>
      </c>
      <c r="AM72" s="560" t="e">
        <f>IF(REGULATION_METHODS="Метод экономически обоснованных расходов (затрат)",0,#REF!*AM87)</f>
        <v>#REF!</v>
      </c>
    </row>
    <row r="73" spans="4:39" ht="111" customHeight="1">
      <c r="D73" s="1">
        <v>148</v>
      </c>
      <c r="AB73" s="258" t="s">
        <v>567</v>
      </c>
      <c r="AC73" s="259" t="s">
        <v>2324</v>
      </c>
      <c r="AD73" s="258" t="s">
        <v>1218</v>
      </c>
      <c r="AE73" s="560" t="e">
        <f t="shared" si="6"/>
        <v>#REF!</v>
      </c>
      <c r="AF73" s="560" t="e">
        <f t="shared" si="7"/>
        <v>#REF!</v>
      </c>
      <c r="AG73" s="560" t="e">
        <f>IF(REGULATION_METHODS="Метод экономически обоснованных расходов (затрат)",0,#REF!*AG87)</f>
        <v>#REF!</v>
      </c>
      <c r="AH73" s="188" t="e">
        <f t="shared" si="9"/>
        <v>#REF!</v>
      </c>
      <c r="AI73" s="188" t="e">
        <f t="shared" si="9"/>
        <v>#REF!</v>
      </c>
      <c r="AJ73" s="188" t="e">
        <f t="shared" si="8"/>
        <v>#REF!</v>
      </c>
      <c r="AK73" s="188" t="e">
        <f t="shared" si="10"/>
        <v>#REF!</v>
      </c>
      <c r="AL73" s="188" t="e">
        <f t="shared" si="11"/>
        <v>#REF!</v>
      </c>
      <c r="AM73" s="560" t="e">
        <f>IF(REGULATION_METHODS="Метод экономически обоснованных расходов (затрат)",0,#REF!*AM87)</f>
        <v>#REF!</v>
      </c>
    </row>
    <row r="74" spans="4:39" ht="41.25" customHeight="1">
      <c r="D74" s="1">
        <v>55</v>
      </c>
      <c r="AB74" s="258" t="s">
        <v>2325</v>
      </c>
      <c r="AC74" s="562" t="s">
        <v>1009</v>
      </c>
      <c r="AD74" s="258" t="s">
        <v>1218</v>
      </c>
      <c r="AE74" s="560" t="e">
        <f t="shared" si="6"/>
        <v>#REF!</v>
      </c>
      <c r="AF74" s="560" t="e">
        <f t="shared" si="7"/>
        <v>#REF!</v>
      </c>
      <c r="AG74" s="560" t="e">
        <f>IF(REGULATION_METHODS="Метод экономически обоснованных расходов (затрат)",0,#REF!*AG87)</f>
        <v>#REF!</v>
      </c>
      <c r="AH74" s="188" t="e">
        <f t="shared" si="9"/>
        <v>#REF!</v>
      </c>
      <c r="AI74" s="188" t="e">
        <f t="shared" si="9"/>
        <v>#REF!</v>
      </c>
      <c r="AJ74" s="188" t="e">
        <f t="shared" si="8"/>
        <v>#REF!</v>
      </c>
      <c r="AK74" s="188" t="e">
        <f t="shared" si="10"/>
        <v>#REF!</v>
      </c>
      <c r="AL74" s="188" t="e">
        <f t="shared" si="11"/>
        <v>#REF!</v>
      </c>
      <c r="AM74" s="560" t="e">
        <f>IF(REGULATION_METHODS="Метод экономически обоснованных расходов (затрат)",0,#REF!*AM87)</f>
        <v>#REF!</v>
      </c>
    </row>
    <row r="75" spans="4:39" ht="69.75" customHeight="1">
      <c r="D75" s="1">
        <v>93</v>
      </c>
      <c r="AB75" s="258" t="s">
        <v>2326</v>
      </c>
      <c r="AC75" s="562" t="s">
        <v>1010</v>
      </c>
      <c r="AD75" s="258" t="s">
        <v>1218</v>
      </c>
      <c r="AE75" s="560" t="e">
        <f t="shared" si="6"/>
        <v>#REF!</v>
      </c>
      <c r="AF75" s="560" t="e">
        <f t="shared" si="7"/>
        <v>#REF!</v>
      </c>
      <c r="AG75" s="560" t="e">
        <f>IF(REGULATION_METHODS="Метод экономически обоснованных расходов (затрат)",0,#REF!*AG87)</f>
        <v>#REF!</v>
      </c>
      <c r="AH75" s="188" t="e">
        <f t="shared" si="9"/>
        <v>#REF!</v>
      </c>
      <c r="AI75" s="188" t="e">
        <f t="shared" si="9"/>
        <v>#REF!</v>
      </c>
      <c r="AJ75" s="188" t="e">
        <f t="shared" si="8"/>
        <v>#REF!</v>
      </c>
      <c r="AK75" s="188" t="e">
        <f t="shared" si="10"/>
        <v>#REF!</v>
      </c>
      <c r="AL75" s="188" t="e">
        <f t="shared" si="11"/>
        <v>#REF!</v>
      </c>
      <c r="AM75" s="560" t="e">
        <f>IF(REGULATION_METHODS="Метод экономически обоснованных расходов (затрат)",0,#REF!*AM87)</f>
        <v>#REF!</v>
      </c>
    </row>
    <row r="76" spans="4:39" ht="69.75" customHeight="1">
      <c r="D76" s="1">
        <v>93</v>
      </c>
      <c r="AB76" s="258" t="s">
        <v>568</v>
      </c>
      <c r="AC76" s="562" t="s">
        <v>1011</v>
      </c>
      <c r="AD76" s="258" t="s">
        <v>1218</v>
      </c>
      <c r="AE76" s="560" t="e">
        <f t="shared" si="6"/>
        <v>#REF!</v>
      </c>
      <c r="AF76" s="560" t="e">
        <f t="shared" si="7"/>
        <v>#REF!</v>
      </c>
      <c r="AG76" s="560" t="e">
        <f>IF(REGULATION_METHODS="Метод экономически обоснованных расходов (затрат)",0,#REF!*AG87)</f>
        <v>#REF!</v>
      </c>
      <c r="AH76" s="188" t="e">
        <f t="shared" si="9"/>
        <v>#REF!</v>
      </c>
      <c r="AI76" s="188" t="e">
        <f t="shared" si="9"/>
        <v>#REF!</v>
      </c>
      <c r="AJ76" s="188" t="e">
        <f t="shared" si="8"/>
        <v>#REF!</v>
      </c>
      <c r="AK76" s="188" t="e">
        <f t="shared" si="10"/>
        <v>#REF!</v>
      </c>
      <c r="AL76" s="188" t="e">
        <f t="shared" si="11"/>
        <v>#REF!</v>
      </c>
      <c r="AM76" s="560" t="e">
        <f>IF(REGULATION_METHODS="Метод экономически обоснованных расходов (затрат)",0,#REF!*AM87)</f>
        <v>#REF!</v>
      </c>
    </row>
    <row r="77" spans="4:39" ht="13.5" customHeight="1">
      <c r="D77" s="1">
        <v>18</v>
      </c>
      <c r="AB77" s="481" t="s">
        <v>569</v>
      </c>
      <c r="AC77" s="534" t="s">
        <v>2327</v>
      </c>
      <c r="AD77" s="179" t="s">
        <v>1218</v>
      </c>
      <c r="AE77" s="188" t="e">
        <f t="shared" ref="AE77:AM77" si="12">AE30+AE34+AE56+AE61+AE63+AE66+AE70+AE71+AE72+AE73+AE76</f>
        <v>#REF!</v>
      </c>
      <c r="AF77" s="188" t="e">
        <f t="shared" si="12"/>
        <v>#REF!</v>
      </c>
      <c r="AG77" s="188" t="e">
        <f t="shared" si="12"/>
        <v>#REF!</v>
      </c>
      <c r="AH77" s="188" t="e">
        <f t="shared" si="12"/>
        <v>#REF!</v>
      </c>
      <c r="AI77" s="188" t="e">
        <f t="shared" si="12"/>
        <v>#REF!</v>
      </c>
      <c r="AJ77" s="188" t="e">
        <f t="shared" si="12"/>
        <v>#REF!</v>
      </c>
      <c r="AK77" s="188" t="e">
        <f t="shared" si="12"/>
        <v>#REF!</v>
      </c>
      <c r="AL77" s="188" t="e">
        <f t="shared" si="12"/>
        <v>#REF!</v>
      </c>
      <c r="AM77" s="188" t="e">
        <f t="shared" si="12"/>
        <v>#REF!</v>
      </c>
    </row>
    <row r="78" spans="4:39" ht="13.5" customHeight="1">
      <c r="D78" s="1">
        <v>18</v>
      </c>
      <c r="AB78" s="481" t="s">
        <v>569</v>
      </c>
      <c r="AC78" s="534" t="s">
        <v>2328</v>
      </c>
      <c r="AD78" s="179" t="s">
        <v>1218</v>
      </c>
      <c r="AE78" s="188" t="e">
        <f t="shared" ref="AE78:AM78" si="13">AE30+AE34+AE56+AE61+AE63+AE66+AE70+AE71+AE72+AE73+AE76</f>
        <v>#REF!</v>
      </c>
      <c r="AF78" s="188" t="e">
        <f t="shared" si="13"/>
        <v>#REF!</v>
      </c>
      <c r="AG78" s="188" t="e">
        <f t="shared" si="13"/>
        <v>#REF!</v>
      </c>
      <c r="AH78" s="188" t="e">
        <f t="shared" si="13"/>
        <v>#REF!</v>
      </c>
      <c r="AI78" s="188" t="e">
        <f t="shared" si="13"/>
        <v>#REF!</v>
      </c>
      <c r="AJ78" s="188" t="e">
        <f t="shared" si="13"/>
        <v>#REF!</v>
      </c>
      <c r="AK78" s="188" t="e">
        <f t="shared" si="13"/>
        <v>#REF!</v>
      </c>
      <c r="AL78" s="188" t="e">
        <f t="shared" si="13"/>
        <v>#REF!</v>
      </c>
      <c r="AM78" s="188" t="e">
        <f t="shared" si="13"/>
        <v>#REF!</v>
      </c>
    </row>
    <row r="79" spans="4:39" ht="27.75" customHeight="1">
      <c r="D79" s="1">
        <v>37</v>
      </c>
      <c r="AB79" s="481" t="s">
        <v>2329</v>
      </c>
      <c r="AC79" s="178" t="s">
        <v>2330</v>
      </c>
      <c r="AD79" s="179" t="s">
        <v>1218</v>
      </c>
      <c r="AE79" s="188" t="e">
        <f>AE80+AE81</f>
        <v>#REF!</v>
      </c>
      <c r="AF79" s="188" t="e">
        <f>AF80+AF81</f>
        <v>#REF!</v>
      </c>
      <c r="AG79" s="188" t="e">
        <f>AG80+AG81</f>
        <v>#REF!</v>
      </c>
      <c r="AH79" s="188" t="e">
        <f>AH80+AH81</f>
        <v>#REF!</v>
      </c>
      <c r="AI79" s="188" t="e">
        <f>AI80+AI81</f>
        <v>#REF!</v>
      </c>
      <c r="AJ79" s="188" t="e">
        <f>AG79*(1+$AJ$29)</f>
        <v>#REF!</v>
      </c>
      <c r="AK79" s="188" t="e">
        <f>AK80+AK81</f>
        <v>#REF!</v>
      </c>
      <c r="AL79" s="188" t="e">
        <f>AL80+AL81</f>
        <v>#REF!</v>
      </c>
      <c r="AM79" s="188" t="e">
        <f>AM80+AM81</f>
        <v>#REF!</v>
      </c>
    </row>
    <row r="80" spans="4:39" ht="13.5" customHeight="1">
      <c r="D80" s="1">
        <v>18</v>
      </c>
      <c r="AB80" s="411" t="s">
        <v>2331</v>
      </c>
      <c r="AC80" s="170" t="s">
        <v>2332</v>
      </c>
      <c r="AD80" s="80" t="s">
        <v>1218</v>
      </c>
      <c r="AE80" s="182" t="e">
        <f>AG80*AE$28</f>
        <v>#REF!</v>
      </c>
      <c r="AF80" s="182" t="e">
        <f>AG80*AF$28</f>
        <v>#REF!</v>
      </c>
      <c r="AG80" s="182" t="e">
        <f>#REF!*AG87</f>
        <v>#REF!</v>
      </c>
      <c r="AH80" s="182" t="e">
        <f>AE80*(1+$AJ$29)</f>
        <v>#REF!</v>
      </c>
      <c r="AI80" s="182" t="e">
        <f>AF80*(1+$AJ$29)</f>
        <v>#REF!</v>
      </c>
      <c r="AJ80" s="188" t="e">
        <f>AG80*(1+$AJ$29)</f>
        <v>#REF!</v>
      </c>
      <c r="AK80" s="182" t="e">
        <f>AM80*AK$28</f>
        <v>#REF!</v>
      </c>
      <c r="AL80" s="182" t="e">
        <f>AM80*AL$28</f>
        <v>#REF!</v>
      </c>
      <c r="AM80" s="182" t="e">
        <f>#REF!*AM87</f>
        <v>#REF!</v>
      </c>
    </row>
    <row r="81" spans="4:40" ht="13.5" customHeight="1">
      <c r="D81" s="1">
        <v>18</v>
      </c>
      <c r="AB81" s="411" t="s">
        <v>2333</v>
      </c>
      <c r="AC81" s="170" t="s">
        <v>2334</v>
      </c>
      <c r="AD81" s="80" t="s">
        <v>1218</v>
      </c>
      <c r="AE81" s="182" t="e">
        <f>AG81*AE$28</f>
        <v>#REF!</v>
      </c>
      <c r="AF81" s="182" t="e">
        <f>AG81*AF$28</f>
        <v>#REF!</v>
      </c>
      <c r="AG81" s="182" t="e">
        <f>#REF!*AG87</f>
        <v>#REF!</v>
      </c>
      <c r="AH81" s="182" t="e">
        <f>AE81*(1+$AJ$29)</f>
        <v>#REF!</v>
      </c>
      <c r="AI81" s="182" t="e">
        <f>AF81*(1+$AJ$29)</f>
        <v>#REF!</v>
      </c>
      <c r="AJ81" s="188" t="e">
        <f>AG81*(1+$AJ$29)</f>
        <v>#REF!</v>
      </c>
      <c r="AK81" s="182" t="e">
        <f>AM81*AK$28</f>
        <v>#REF!</v>
      </c>
      <c r="AL81" s="182" t="e">
        <f>AM81*AL$28</f>
        <v>#REF!</v>
      </c>
      <c r="AM81" s="182" t="e">
        <f>#REF!*AM87</f>
        <v>#REF!</v>
      </c>
    </row>
    <row r="82" spans="4:40" ht="13.5" customHeight="1">
      <c r="D82" s="1">
        <v>18</v>
      </c>
      <c r="AB82" s="481" t="s">
        <v>570</v>
      </c>
      <c r="AC82" s="534" t="s">
        <v>2335</v>
      </c>
      <c r="AD82" s="179" t="s">
        <v>2118</v>
      </c>
      <c r="AE82" s="563" t="e">
        <f>#REF!</f>
        <v>#REF!</v>
      </c>
      <c r="AF82" s="563" t="e">
        <f>#REF!</f>
        <v>#REF!</v>
      </c>
      <c r="AG82" s="563" t="e">
        <f>#REF!</f>
        <v>#REF!</v>
      </c>
      <c r="AH82" s="563" t="e">
        <f>AE82</f>
        <v>#REF!</v>
      </c>
      <c r="AI82" s="563" t="e">
        <f>AF82</f>
        <v>#REF!</v>
      </c>
      <c r="AJ82" s="529" t="e">
        <f>AG82</f>
        <v>#REF!</v>
      </c>
      <c r="AK82" s="182" t="e">
        <f>#REF!</f>
        <v>#REF!</v>
      </c>
      <c r="AL82" s="182" t="e">
        <f>#REF!</f>
        <v>#REF!</v>
      </c>
      <c r="AM82" s="563" t="e">
        <f>#REF!</f>
        <v>#REF!</v>
      </c>
    </row>
    <row r="83" spans="4:40" ht="13.5" customHeight="1">
      <c r="D83" s="1">
        <v>18</v>
      </c>
      <c r="AB83" s="411" t="s">
        <v>2336</v>
      </c>
      <c r="AC83" s="170" t="s">
        <v>2337</v>
      </c>
      <c r="AD83" s="80" t="s">
        <v>2118</v>
      </c>
      <c r="AE83" s="564"/>
      <c r="AF83" s="564"/>
      <c r="AG83" s="564"/>
      <c r="AH83" s="564"/>
      <c r="AI83" s="564"/>
      <c r="AJ83" s="187"/>
      <c r="AK83" s="564"/>
      <c r="AL83" s="564"/>
      <c r="AM83" s="564"/>
    </row>
    <row r="84" spans="4:40" ht="13.5" customHeight="1">
      <c r="D84" s="1">
        <v>18</v>
      </c>
      <c r="AB84" s="481" t="s">
        <v>571</v>
      </c>
      <c r="AC84" s="534" t="s">
        <v>2338</v>
      </c>
      <c r="AD84" s="179" t="s">
        <v>2296</v>
      </c>
      <c r="AE84" s="188">
        <f>IFERROR((AE77/AE82/10),0)</f>
        <v>0</v>
      </c>
      <c r="AF84" s="188">
        <f>IFERROR((AF77/AF82/10),0)</f>
        <v>0</v>
      </c>
      <c r="AG84" s="188">
        <f>IFERROR((AG77/AG82/10),0)</f>
        <v>0</v>
      </c>
      <c r="AH84" s="188">
        <f>IFERROR(IF(AH82/10=0,0,AH77/AH82/10),0)</f>
        <v>0</v>
      </c>
      <c r="AI84" s="188">
        <f>IFERROR(IF(AI82/10=0,0,AI77/AI82/10),0)</f>
        <v>0</v>
      </c>
      <c r="AJ84" s="187"/>
      <c r="AK84" s="188">
        <f>IFERROR(IF(AK82/10=0,0,AK77/AK82/10),0)</f>
        <v>0</v>
      </c>
      <c r="AL84" s="188">
        <f>IFERROR(IF(AL82/10=0,0,AL77/AL82/10),0)</f>
        <v>0</v>
      </c>
      <c r="AM84" s="188">
        <f>IFERROR(IF(AM82/10=0,0,AM77/AM82/10),0)</f>
        <v>0</v>
      </c>
    </row>
    <row r="85" spans="4:40" ht="13.5" customHeight="1">
      <c r="D85" s="1">
        <v>18</v>
      </c>
      <c r="AB85" s="481" t="s">
        <v>572</v>
      </c>
      <c r="AC85" s="534" t="s">
        <v>693</v>
      </c>
      <c r="AD85" s="179" t="s">
        <v>696</v>
      </c>
      <c r="AE85" s="560" t="e">
        <f>AG85</f>
        <v>#REF!</v>
      </c>
      <c r="AF85" s="560" t="e">
        <f>AG85</f>
        <v>#REF!</v>
      </c>
      <c r="AG85" s="560" t="e">
        <f>#REF!</f>
        <v>#REF!</v>
      </c>
      <c r="AH85" s="560" t="e">
        <f>AE85</f>
        <v>#REF!</v>
      </c>
      <c r="AI85" s="560" t="e">
        <f>AF85</f>
        <v>#REF!</v>
      </c>
      <c r="AJ85" s="187"/>
      <c r="AK85" s="563" t="e">
        <f>#REF!</f>
        <v>#REF!</v>
      </c>
      <c r="AL85" s="563" t="e">
        <f>AK85</f>
        <v>#REF!</v>
      </c>
      <c r="AM85" s="563" t="e">
        <f>#REF!</f>
        <v>#REF!</v>
      </c>
    </row>
    <row r="86" spans="4:40" ht="13.5" customHeight="1">
      <c r="D86" s="1">
        <v>18</v>
      </c>
      <c r="AB86" s="481" t="s">
        <v>574</v>
      </c>
      <c r="AC86" s="534" t="s">
        <v>2339</v>
      </c>
      <c r="AD86" s="179" t="s">
        <v>1218</v>
      </c>
      <c r="AE86" s="560" t="e">
        <f>IF(AE85=0,0,IF(AE77=0,AE78/AE85,(AE77)/AE85))</f>
        <v>#REF!</v>
      </c>
      <c r="AF86" s="560" t="e">
        <f>IF(AF85=0,0,IF(AF77=0,AF78/AF85,(AF77)/AF85))</f>
        <v>#REF!</v>
      </c>
      <c r="AG86" s="560" t="e">
        <f>IF(AG85=0,0,IF(AG77=0,AG78/AG85,(AG77)/AG85))</f>
        <v>#REF!</v>
      </c>
      <c r="AH86" s="560" t="e">
        <f>IF(AH85=0,0,IF(AH77=0,AH78/AH85,(AH77)/AH85))</f>
        <v>#REF!</v>
      </c>
      <c r="AI86" s="560" t="e">
        <f>IF(AI85=0,0,IF(AI77=0,AI78/AI85,(AI77)/AI85))</f>
        <v>#REF!</v>
      </c>
      <c r="AJ86" s="187"/>
      <c r="AK86" s="560" t="e">
        <f>IF(AK85=0,0,IF(AK77=0,AK78/AK85,(AK77)/AK85))</f>
        <v>#REF!</v>
      </c>
      <c r="AL86" s="560" t="e">
        <f>IF(AL85=0,0,IF(AL77=0,AL78/AL85,(AL77)/AL85))</f>
        <v>#REF!</v>
      </c>
      <c r="AM86" s="560" t="e">
        <f>IF(AM85=0,0,IF(AM77=0,AM78/AM85,(AM77)/AM85))</f>
        <v>#REF!</v>
      </c>
    </row>
    <row r="87" spans="4:40" ht="15" customHeight="1">
      <c r="D87" s="1">
        <v>20</v>
      </c>
      <c r="AC87" s="558" t="s">
        <v>2340</v>
      </c>
      <c r="AG87" s="563" t="e">
        <f>#REF!</f>
        <v>#REF!</v>
      </c>
      <c r="AM87" s="563" t="e">
        <f>#REF!</f>
        <v>#REF!</v>
      </c>
    </row>
    <row r="88" spans="4:40" ht="13.5" customHeight="1">
      <c r="D88" s="1">
        <v>18</v>
      </c>
      <c r="AB88" s="481"/>
      <c r="AC88" s="534" t="s">
        <v>2341</v>
      </c>
      <c r="AD88" s="179"/>
      <c r="AE88" s="560" t="e">
        <f>AG88*AE$28</f>
        <v>#REF!</v>
      </c>
      <c r="AF88" s="560" t="e">
        <f>AG88*AF$28</f>
        <v>#REF!</v>
      </c>
      <c r="AG88" s="560" t="e">
        <f>#REF!*AG87+#REF!</f>
        <v>#REF!</v>
      </c>
      <c r="AH88" s="560" t="e">
        <f>AE88*(1+$AJ$29)</f>
        <v>#REF!</v>
      </c>
      <c r="AI88" s="560" t="e">
        <f>AF88*(1+$AJ$29)</f>
        <v>#REF!</v>
      </c>
      <c r="AJ88" s="560" t="e">
        <f>AG88*(1+$AJ$29)</f>
        <v>#REF!</v>
      </c>
      <c r="AK88" s="560" t="e">
        <f>AM88*AK$28</f>
        <v>#REF!</v>
      </c>
      <c r="AL88" s="560" t="e">
        <f>AM88*AL$28</f>
        <v>#REF!</v>
      </c>
      <c r="AM88" s="560" t="e">
        <f>#REF!*AM87+#REF!</f>
        <v>#REF!</v>
      </c>
    </row>
    <row r="89" spans="4:40" ht="13.5" customHeight="1">
      <c r="D89" s="1">
        <v>18</v>
      </c>
      <c r="AB89" s="77"/>
      <c r="AC89" s="534" t="s">
        <v>1037</v>
      </c>
      <c r="AD89" s="77"/>
      <c r="AE89" s="565">
        <f t="shared" ref="AE89:AM89" si="14">IF(REGULATION_METHODS="Метод экономически обоснованных расходов (затрат)",AE88=AE77,0)</f>
        <v>0</v>
      </c>
      <c r="AF89" s="565">
        <f t="shared" si="14"/>
        <v>0</v>
      </c>
      <c r="AG89" s="565">
        <f t="shared" si="14"/>
        <v>0</v>
      </c>
      <c r="AH89" s="565">
        <f t="shared" si="14"/>
        <v>0</v>
      </c>
      <c r="AI89" s="565">
        <f t="shared" si="14"/>
        <v>0</v>
      </c>
      <c r="AJ89" s="565">
        <f t="shared" si="14"/>
        <v>0</v>
      </c>
      <c r="AK89" s="565">
        <f t="shared" si="14"/>
        <v>0</v>
      </c>
      <c r="AL89" s="565">
        <f t="shared" si="14"/>
        <v>0</v>
      </c>
      <c r="AM89" s="565">
        <f t="shared" si="14"/>
        <v>0</v>
      </c>
    </row>
    <row r="90" spans="4:40" ht="13.5" customHeight="1">
      <c r="D90" s="1">
        <v>18</v>
      </c>
      <c r="AB90" s="77"/>
      <c r="AC90" s="534" t="s">
        <v>1037</v>
      </c>
      <c r="AD90" s="77"/>
      <c r="AE90" s="566" t="e">
        <f t="shared" ref="AE90:AM90" si="15">IF(REGULATION_METHODS="Метод экономически обоснованных расходов (затрат)",0,AE88=AE78)</f>
        <v>#REF!</v>
      </c>
      <c r="AF90" s="566" t="e">
        <f t="shared" si="15"/>
        <v>#REF!</v>
      </c>
      <c r="AG90" s="566" t="e">
        <f t="shared" si="15"/>
        <v>#REF!</v>
      </c>
      <c r="AH90" s="566" t="e">
        <f t="shared" si="15"/>
        <v>#REF!</v>
      </c>
      <c r="AI90" s="566" t="e">
        <f t="shared" si="15"/>
        <v>#REF!</v>
      </c>
      <c r="AJ90" s="566" t="e">
        <f t="shared" si="15"/>
        <v>#REF!</v>
      </c>
      <c r="AK90" s="566" t="e">
        <f t="shared" si="15"/>
        <v>#REF!</v>
      </c>
      <c r="AL90" s="566" t="e">
        <f t="shared" si="15"/>
        <v>#REF!</v>
      </c>
      <c r="AM90" s="566" t="e">
        <f t="shared" si="15"/>
        <v>#REF!</v>
      </c>
    </row>
    <row r="91" spans="4:40" ht="11.25" hidden="1" customHeight="1">
      <c r="D91">
        <v>0</v>
      </c>
      <c r="AN91" t="s">
        <v>42</v>
      </c>
    </row>
  </sheetData>
  <sheetProtection formatColumns="0" formatRows="0" insertRows="0" deleteColumns="0" deleteRows="0" sort="0" autoFilter="0"/>
  <mergeCells count="11">
    <mergeCell ref="AC41:AD41"/>
    <mergeCell ref="AC62:AD62"/>
    <mergeCell ref="AB21:AG21"/>
    <mergeCell ref="AB3:AC3"/>
    <mergeCell ref="AK24:AM25"/>
    <mergeCell ref="AB22:AD22"/>
    <mergeCell ref="AE24:AG25"/>
    <mergeCell ref="AH24:AJ25"/>
    <mergeCell ref="AB24:AB27"/>
    <mergeCell ref="AC24:AC27"/>
    <mergeCell ref="AD24:AD27"/>
  </mergeCells>
  <dataValidations count="2">
    <dataValidation type="decimal" allowBlank="1" showInputMessage="1" showErrorMessage="1" sqref="WWJ37:WWN37 JX37:KB37 TT37:TX37 ADP37:ADT37 ANL37:ANP37 AXH37:AXL37 BHD37:BHH37 BQZ37:BRD37 CAV37:CAZ37 CKR37:CKV37 CUN37:CUR37 DEJ37:DEN37 DOF37:DOJ37 DYB37:DYF37 EHX37:EIB37 ERT37:ERX37 FBP37:FBT37 FLL37:FLP37 FVH37:FVL37 GFD37:GFH37 GOZ37:GPD37 GYV37:GYZ37 HIR37:HIV37 HSN37:HSR37 ICJ37:ICN37 IMF37:IMJ37 IWB37:IWF37 JFX37:JGB37 JPT37:JPX37 JZP37:JZT37 KJL37:KJP37 KTH37:KTL37 LDD37:LDH37 LMZ37:LND37 LWV37:LWZ37 MGR37:MGV37 MQN37:MQR37 NAJ37:NAN37 NKF37:NKJ37 NUB37:NUF37 ODX37:OEB37 ONT37:ONX37 OXP37:OXT37 PHL37:PHP37 PRH37:PRL37 QBD37:QBH37 QKZ37:QLD37 QUV37:QUZ37 RER37:REV37 RON37:ROR37 RYJ37:RYN37 SIF37:SIJ37 SSB37:SSF37 TBX37:TCB37 TLT37:TLX37 TVP37:TVT37 UFL37:UFP37 UPH37:UPL37 UZD37:UZH37 VIZ37:VJD37 VSV37:VSZ37 WCR37:WCV37 WMN37:WMR37" xr:uid="{00000000-0002-0000-4100-000000000000}">
      <formula1>-9999999999</formula1>
      <formula2>9999999999</formula2>
    </dataValidation>
    <dataValidation type="decimal" allowBlank="1" showErrorMessage="1" errorTitle="Ошибка" error="Допускается ввод только неотрицательных чисел!" sqref="TLU30:TLX32 TVQ30:TVT32 UFM30:UFP32 UPI30:UPL32 UZE30:UZH32 VJA30:VJD32 VSW30:VSZ32 WCS30:WCV32 WMO30:WMR32 WWK30:WWN32 JY38:KB39 TU38:TX39 ADQ38:ADT39 ANM38:ANP39 AXI38:AXL39 BHE38:BHH39 BRA38:BRD39 CAW38:CAZ39 CKS38:CKV39 CUO38:CUR39 DEK38:DEN39 DOG38:DOJ39 DYC38:DYF39 EHY38:EIB39 ERU38:ERX39 FBQ38:FBT39 FLM38:FLP39 FVI38:FVL39 GFE38:GFH39 GPA38:GPD39 GYW38:GYZ39 HIS38:HIV39 HSO38:HSR39 ICK38:ICN39 IMG38:IMJ39 IWC38:IWF39 JFY38:JGB39 JPU38:JPX39 JZQ38:JZT39 KJM38:KJP39 KTI38:KTL39 LDE38:LDH39 LNA38:LND39 LWW38:LWZ39 MGS38:MGV39 MQO38:MQR39 NAK38:NAN39 NKG38:NKJ39 NUC38:NUF39 ODY38:OEB39 ONU38:ONX39 OXQ38:OXT39 PHM38:PHP39 PRI38:PRL39 QBE38:QBH39 QLA38:QLD39 QUW38:QUZ39 RES38:REV39 ROO38:ROR39 RYK38:RYN39 SIG38:SIJ39 SSC38:SSF39 TBY38:TCB39 TLU38:TLX39 TVQ38:TVT39 UFM38:UFP39 UPI38:UPL39 UZE38:UZH39 VJA38:VJD39 VSW38:VSZ39 WCS38:WCV39 WMO38:WMR39 WWK38:WWN39 JY35:KB36 TU35:TX36 ADQ35:ADT36 ANM35:ANP36 AXI35:AXL36 BHE35:BHH36 BRA35:BRD36 CAW35:CAZ36 CKS35:CKV36 CUO35:CUR36 DEK35:DEN36 DOG35:DOJ36 DYC35:DYF36 EHY35:EIB36 ERU35:ERX36 FBQ35:FBT36 FLM35:FLP36 FVI35:FVL36 GFE35:GFH36 GPA35:GPD36 GYW35:GYZ36 HIS35:HIV36 HSO35:HSR36 ICK35:ICN36 IMG35:IMJ36 IWC35:IWF36 JFY35:JGB36 JPU35:JPX36 JZQ35:JZT36 KJM35:KJP36 KTI35:KTL36 LDE35:LDH36 LNA35:LND36 LWW35:LWZ36 MGS35:MGV36 MQO35:MQR36 NAK35:NAN36 NKG35:NKJ36 NUC35:NUF36 ODY35:OEB36 ONU35:ONX36 OXQ35:OXT36 PHM35:PHP36 PRI35:PRL36 QBE35:QBH36 QLA35:QLD36 QUW35:QUZ36 RES35:REV36 ROO35:ROR36 RYK35:RYN36 SIG35:SIJ36 SSC35:SSF36 TBY35:TCB36 TLU35:TLX36 TVQ35:TVT36 UFM35:UFP36 UPI35:UPL36 UZE35:UZH36 VJA35:VJD36 VSW35:VSZ36 WCS35:WCV36 WMO35:WMR36 WWK35:WWN36 JY30:KB32 TU30:TX32 ADQ30:ADT32 ANM30:ANP32 AXI30:AXL32 BHE30:BHH32 BRA30:BRD32 CAW30:CAZ32 CKS30:CKV32 CUO30:CUR32 DEK30:DEN32 DOG30:DOJ32 DYC30:DYF32 EHY30:EIB32 ERU30:ERX32 FBQ30:FBT32 FLM30:FLP32 FVI30:FVL32 GFE30:GFH32 GPA30:GPD32 GYW30:GYZ32 HIS30:HIV32 HSO30:HSR32 ICK30:ICN32 IMG30:IMJ32 IWC30:IWF32 JFY30:JGB32 JPU30:JPX32 JZQ30:JZT32 KJM30:KJP32 KTI30:KTL32 LDE30:LDH32 LNA30:LND32 LWW30:LWZ32 MGS30:MGV32 MQO30:MQR32 NAK30:NAN32 NKG30:NKJ32 NUC30:NUF32 ODY30:OEB32 ONU30:ONX32 OXQ30:OXT32 PHM30:PHP32 PRI30:PRL32 QBE30:QBH32 QLA30:QLD32 QUW30:QUZ32 RES30:REV32 ROO30:ROR32 RYK30:RYN32 SIG30:SIJ32 SSC30:SSF32 TBY30:TCB32 AE31:AF33 AK68:AM68 AK80:AM81 AG53 AG68:AI68 AK44:AM44 AK46:AM46 AK53:AM53 AG44 AG46 AE83:AI83 AE80:AI81 AK83:AM83" xr:uid="{00000000-0002-0000-4100-000001000000}">
      <formula1>0</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CN61"/>
  <sheetViews>
    <sheetView showGridLines="0" topLeftCell="AA20" workbookViewId="0">
      <selection activeCell="AA20" sqref="AA20"/>
    </sheetView>
  </sheetViews>
  <sheetFormatPr defaultColWidth="9.140625" defaultRowHeight="11.45" customHeight="1"/>
  <cols>
    <col min="1" max="1" width="9.140625" hidden="1"/>
    <col min="2" max="2" width="8.28515625" hidden="1" customWidth="1"/>
    <col min="3" max="26" width="4.7109375" hidden="1" customWidth="1"/>
    <col min="27" max="27" width="6.85546875" customWidth="1"/>
    <col min="28" max="28" width="10.28515625" customWidth="1"/>
    <col min="29" max="29" width="41.140625" customWidth="1"/>
    <col min="30" max="30" width="18.85546875" hidden="1" customWidth="1"/>
    <col min="31" max="32" width="17.140625" customWidth="1"/>
    <col min="33" max="37" width="12.5703125" customWidth="1"/>
    <col min="38" max="68" width="17.140625" customWidth="1"/>
    <col min="69" max="73" width="18.28515625" customWidth="1"/>
    <col min="74" max="74" width="40" customWidth="1"/>
    <col min="75" max="75" width="42.28515625" customWidth="1"/>
    <col min="76" max="76" width="32" customWidth="1"/>
    <col min="77" max="91" width="18.28515625" customWidth="1"/>
    <col min="92" max="92" width="9.140625" hidden="1"/>
  </cols>
  <sheetData>
    <row r="1" spans="4:92" ht="11.25" hidden="1" customHeight="1"/>
    <row r="2" spans="4:92" ht="12.75" hidden="1" customHeight="1"/>
    <row r="3" spans="4:92" ht="12.75" hidden="1" customHeight="1"/>
    <row r="4" spans="4:92" ht="12.7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72</v>
      </c>
      <c r="AC4" s="1">
        <v>288</v>
      </c>
      <c r="AD4" s="1">
        <v>0</v>
      </c>
      <c r="AE4" s="1">
        <v>120</v>
      </c>
      <c r="AF4" s="1">
        <v>120</v>
      </c>
      <c r="AG4" s="1">
        <v>88</v>
      </c>
      <c r="AH4" s="1">
        <v>88</v>
      </c>
      <c r="AI4" s="1">
        <v>88</v>
      </c>
      <c r="AJ4" s="1">
        <v>88</v>
      </c>
      <c r="AK4" s="1">
        <v>88</v>
      </c>
      <c r="AL4" s="1">
        <v>120</v>
      </c>
      <c r="AM4" s="1">
        <v>120</v>
      </c>
      <c r="AN4" s="1">
        <v>120</v>
      </c>
      <c r="AO4" s="1">
        <v>120</v>
      </c>
      <c r="AP4" s="1">
        <v>120</v>
      </c>
      <c r="AQ4" s="1">
        <v>120</v>
      </c>
      <c r="AR4" s="1">
        <v>120</v>
      </c>
      <c r="AS4" s="1">
        <v>120</v>
      </c>
      <c r="AT4" s="1">
        <v>120</v>
      </c>
      <c r="AU4" s="1">
        <v>120</v>
      </c>
      <c r="AV4" s="1">
        <v>120</v>
      </c>
      <c r="AW4" s="1">
        <v>120</v>
      </c>
      <c r="AX4" s="1">
        <v>120</v>
      </c>
      <c r="AY4" s="1">
        <v>120</v>
      </c>
      <c r="AZ4" s="1">
        <v>120</v>
      </c>
      <c r="BA4" s="1">
        <v>120</v>
      </c>
      <c r="BB4" s="1">
        <v>120</v>
      </c>
      <c r="BC4" s="1">
        <v>120</v>
      </c>
      <c r="BD4" s="1">
        <v>120</v>
      </c>
      <c r="BE4" s="1">
        <v>120</v>
      </c>
      <c r="BF4" s="1">
        <v>120</v>
      </c>
      <c r="BG4" s="1">
        <v>120</v>
      </c>
      <c r="BH4" s="1">
        <v>120</v>
      </c>
      <c r="BI4" s="1">
        <v>120</v>
      </c>
      <c r="BJ4" s="1">
        <v>120</v>
      </c>
      <c r="BK4" s="1">
        <v>120</v>
      </c>
      <c r="BL4" s="1">
        <v>120</v>
      </c>
      <c r="BM4" s="1">
        <v>120</v>
      </c>
      <c r="BN4" s="1">
        <v>120</v>
      </c>
      <c r="BO4" s="1">
        <v>120</v>
      </c>
      <c r="BP4" s="1">
        <v>120</v>
      </c>
      <c r="BQ4" s="1">
        <v>128</v>
      </c>
      <c r="BR4" s="1">
        <v>128</v>
      </c>
      <c r="BS4" s="1">
        <v>128</v>
      </c>
      <c r="BT4" s="1">
        <v>128</v>
      </c>
      <c r="BU4" s="1">
        <v>128</v>
      </c>
      <c r="BV4" s="1">
        <v>280</v>
      </c>
      <c r="BW4" s="1">
        <v>296</v>
      </c>
      <c r="BX4" s="1">
        <v>224</v>
      </c>
      <c r="BY4" s="1">
        <v>128</v>
      </c>
      <c r="BZ4" s="1">
        <v>128</v>
      </c>
      <c r="CA4" s="1">
        <v>128</v>
      </c>
      <c r="CB4" s="1">
        <v>128</v>
      </c>
      <c r="CC4" s="1">
        <v>128</v>
      </c>
      <c r="CD4" s="1">
        <v>128</v>
      </c>
      <c r="CE4" s="1">
        <v>128</v>
      </c>
      <c r="CF4" s="1">
        <v>128</v>
      </c>
      <c r="CG4" s="1">
        <v>128</v>
      </c>
      <c r="CH4" s="1">
        <v>128</v>
      </c>
      <c r="CI4" s="1">
        <v>128</v>
      </c>
      <c r="CJ4" s="1">
        <v>128</v>
      </c>
      <c r="CK4" s="1">
        <v>128</v>
      </c>
      <c r="CL4" s="1">
        <v>128</v>
      </c>
      <c r="CM4" s="1">
        <v>128</v>
      </c>
      <c r="CN4" s="2">
        <v>0</v>
      </c>
    </row>
    <row r="5" spans="4:92" ht="12.75" hidden="1" customHeight="1">
      <c r="D5" s="1">
        <v>40</v>
      </c>
    </row>
    <row r="6" spans="4:92" ht="12.75" hidden="1" customHeight="1">
      <c r="D6" s="1">
        <v>40</v>
      </c>
      <c r="AB6" s="781"/>
      <c r="AC6" s="781"/>
    </row>
    <row r="7" spans="4:92" ht="12.75" hidden="1" customHeight="1">
      <c r="D7" s="1">
        <v>40</v>
      </c>
    </row>
    <row r="8" spans="4:92" ht="12.75" hidden="1" customHeight="1">
      <c r="D8" s="1">
        <v>40</v>
      </c>
    </row>
    <row r="9" spans="4:92" ht="12.75" hidden="1" customHeight="1">
      <c r="D9" s="1">
        <v>40</v>
      </c>
    </row>
    <row r="10" spans="4:92" ht="12.75" hidden="1" customHeight="1">
      <c r="D10" s="1">
        <v>40</v>
      </c>
    </row>
    <row r="11" spans="4:92" ht="12.75" hidden="1" customHeight="1">
      <c r="D11" s="1">
        <v>40</v>
      </c>
    </row>
    <row r="12" spans="4:92" ht="12.75" hidden="1" customHeight="1">
      <c r="D12" s="1">
        <v>40</v>
      </c>
    </row>
    <row r="13" spans="4:92" ht="12.75" hidden="1" customHeight="1">
      <c r="D13" s="1">
        <v>40</v>
      </c>
    </row>
    <row r="14" spans="4:92" ht="12.75" hidden="1" customHeight="1">
      <c r="D14" s="1">
        <v>40</v>
      </c>
    </row>
    <row r="15" spans="4:92" ht="12.75" hidden="1" customHeight="1">
      <c r="D15" s="1">
        <v>40</v>
      </c>
    </row>
    <row r="16" spans="4:92" ht="12.75" hidden="1" customHeight="1">
      <c r="D16" s="1">
        <v>40</v>
      </c>
    </row>
    <row r="17" spans="2:91" ht="12.75" hidden="1" customHeight="1">
      <c r="D17" s="1">
        <v>40</v>
      </c>
    </row>
    <row r="18" spans="2:91" ht="12.75" hidden="1" customHeight="1">
      <c r="D18" s="1">
        <v>40</v>
      </c>
    </row>
    <row r="19" spans="2:91" ht="12.75" hidden="1" customHeight="1">
      <c r="D19" s="1">
        <v>40</v>
      </c>
    </row>
    <row r="20" spans="2:91" ht="18" customHeight="1">
      <c r="D20" s="1">
        <v>24</v>
      </c>
    </row>
    <row r="21" spans="2:91" ht="42" customHeight="1">
      <c r="D21" s="1">
        <v>56</v>
      </c>
      <c r="AB21" s="828" t="str">
        <f>ORG</f>
        <v>МУП "Горэлектросети"</v>
      </c>
      <c r="AC21" s="830"/>
      <c r="AD21" s="830"/>
    </row>
    <row r="22" spans="2:91" ht="19.5" customHeight="1">
      <c r="D22" s="1">
        <v>26</v>
      </c>
      <c r="AB22" s="1158" t="s">
        <v>2342</v>
      </c>
      <c r="AC22" s="1158"/>
      <c r="AD22" s="1158"/>
      <c r="AE22" s="1158"/>
      <c r="AF22" s="1158"/>
    </row>
    <row r="23" spans="2:91" ht="3" customHeight="1">
      <c r="D23" s="1">
        <v>4</v>
      </c>
    </row>
    <row r="24" spans="2:91" ht="13.5" customHeight="1">
      <c r="B24" s="433"/>
      <c r="C24" s="433"/>
      <c r="D24" s="433">
        <v>18</v>
      </c>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816" t="s">
        <v>771</v>
      </c>
      <c r="AC24" s="1138" t="s">
        <v>2343</v>
      </c>
      <c r="AD24" s="1207"/>
      <c r="AE24" s="816" t="s">
        <v>1206</v>
      </c>
      <c r="AF24" s="816"/>
      <c r="AG24" s="816"/>
      <c r="AH24" s="816"/>
      <c r="AI24" s="816"/>
      <c r="AJ24" s="816"/>
      <c r="AK24" s="816"/>
      <c r="AL24" s="816"/>
      <c r="AM24" s="816"/>
      <c r="AN24" s="816"/>
      <c r="AO24" s="1210" t="s">
        <v>2344</v>
      </c>
      <c r="AP24" s="1210"/>
      <c r="AQ24" s="1210"/>
      <c r="AR24" s="1210"/>
      <c r="AS24" s="1210"/>
      <c r="AT24" s="1210"/>
      <c r="AU24" s="1210"/>
      <c r="AV24" s="1210"/>
      <c r="AW24" s="1210"/>
      <c r="AX24" s="1210"/>
      <c r="AY24" s="1210"/>
      <c r="AZ24" s="1210"/>
      <c r="BA24" s="1210"/>
      <c r="BB24" s="1210"/>
      <c r="BC24" s="1210"/>
      <c r="BD24" s="1210"/>
      <c r="BE24" s="1210"/>
      <c r="BF24" s="1210"/>
      <c r="BG24" s="1210"/>
      <c r="BH24" s="1210"/>
      <c r="BI24" s="1210"/>
      <c r="BJ24" s="1210" t="s">
        <v>985</v>
      </c>
      <c r="BK24" s="1210"/>
      <c r="BL24" s="1210"/>
      <c r="BM24" s="1210"/>
      <c r="BN24" s="1210"/>
      <c r="BO24" s="1210"/>
      <c r="BP24" s="1210"/>
      <c r="BQ24" s="1210"/>
      <c r="BR24" s="1210"/>
      <c r="BS24" s="1210"/>
      <c r="BT24" s="1210"/>
      <c r="BU24" s="1210"/>
      <c r="BV24" s="1210"/>
      <c r="BW24" s="1210"/>
      <c r="BX24" s="1210"/>
      <c r="BY24" s="1210"/>
      <c r="BZ24" s="1210"/>
      <c r="CA24" s="1210"/>
      <c r="CB24" s="1210"/>
      <c r="CC24" s="1210"/>
      <c r="CD24" s="1210"/>
      <c r="CE24" s="1210"/>
      <c r="CF24" s="1210"/>
      <c r="CG24" s="1210"/>
      <c r="CH24" s="816" t="s">
        <v>2345</v>
      </c>
      <c r="CI24" s="816" t="s">
        <v>1022</v>
      </c>
      <c r="CJ24" s="816" t="s">
        <v>1011</v>
      </c>
      <c r="CK24" s="816" t="s">
        <v>1251</v>
      </c>
      <c r="CL24" s="816" t="s">
        <v>2346</v>
      </c>
      <c r="CM24" s="816" t="s">
        <v>1037</v>
      </c>
    </row>
    <row r="25" spans="2:91" ht="17.25" customHeight="1">
      <c r="B25" s="433"/>
      <c r="C25" s="433"/>
      <c r="D25" s="433">
        <v>23</v>
      </c>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816"/>
      <c r="AC25" s="1138"/>
      <c r="AD25" s="1208"/>
      <c r="AE25" s="1210" t="s">
        <v>2347</v>
      </c>
      <c r="AF25" s="1210" t="s">
        <v>1048</v>
      </c>
      <c r="AG25" s="1210" t="s">
        <v>947</v>
      </c>
      <c r="AH25" s="1210"/>
      <c r="AI25" s="1210"/>
      <c r="AJ25" s="1210"/>
      <c r="AK25" s="1210"/>
      <c r="AL25" s="1210" t="s">
        <v>1049</v>
      </c>
      <c r="AM25" s="816" t="s">
        <v>1050</v>
      </c>
      <c r="AN25" s="816" t="s">
        <v>951</v>
      </c>
      <c r="AO25" s="816" t="s">
        <v>758</v>
      </c>
      <c r="AP25" s="816" t="s">
        <v>760</v>
      </c>
      <c r="AQ25" s="816" t="s">
        <v>761</v>
      </c>
      <c r="AR25" s="816" t="s">
        <v>560</v>
      </c>
      <c r="AS25" s="816" t="s">
        <v>1057</v>
      </c>
      <c r="AT25" s="816" t="s">
        <v>1059</v>
      </c>
      <c r="AU25" s="816" t="s">
        <v>964</v>
      </c>
      <c r="AV25" s="816" t="s">
        <v>1224</v>
      </c>
      <c r="AW25" s="816" t="s">
        <v>1064</v>
      </c>
      <c r="AX25" s="816" t="s">
        <v>1066</v>
      </c>
      <c r="AY25" s="816" t="s">
        <v>1068</v>
      </c>
      <c r="AZ25" s="816" t="s">
        <v>1070</v>
      </c>
      <c r="BA25" s="816" t="s">
        <v>1072</v>
      </c>
      <c r="BB25" s="816" t="s">
        <v>970</v>
      </c>
      <c r="BC25" s="816" t="s">
        <v>1075</v>
      </c>
      <c r="BD25" s="816" t="s">
        <v>972</v>
      </c>
      <c r="BE25" s="816" t="s">
        <v>973</v>
      </c>
      <c r="BF25" s="816" t="s">
        <v>975</v>
      </c>
      <c r="BG25" s="816" t="s">
        <v>998</v>
      </c>
      <c r="BH25" s="816" t="s">
        <v>1082</v>
      </c>
      <c r="BI25" s="816" t="s">
        <v>1083</v>
      </c>
      <c r="BJ25" s="816" t="s">
        <v>1087</v>
      </c>
      <c r="BK25" s="816" t="s">
        <v>2122</v>
      </c>
      <c r="BL25" s="816"/>
      <c r="BM25" s="816" t="s">
        <v>575</v>
      </c>
      <c r="BN25" s="816" t="s">
        <v>1235</v>
      </c>
      <c r="BO25" s="816" t="s">
        <v>1236</v>
      </c>
      <c r="BP25" s="816" t="s">
        <v>1237</v>
      </c>
      <c r="BQ25" s="816" t="s">
        <v>1238</v>
      </c>
      <c r="BR25" s="816" t="s">
        <v>480</v>
      </c>
      <c r="BS25" s="816" t="s">
        <v>1103</v>
      </c>
      <c r="BT25" s="816" t="s">
        <v>1105</v>
      </c>
      <c r="BU25" s="1156" t="s">
        <v>577</v>
      </c>
      <c r="BV25" s="1205" t="s">
        <v>2317</v>
      </c>
      <c r="BW25" s="1205" t="s">
        <v>2324</v>
      </c>
      <c r="BX25" s="1205" t="s">
        <v>2348</v>
      </c>
      <c r="BY25" s="1205" t="s">
        <v>2349</v>
      </c>
      <c r="BZ25" s="816" t="s">
        <v>1239</v>
      </c>
      <c r="CA25" s="816" t="s">
        <v>1241</v>
      </c>
      <c r="CB25" s="816" t="s">
        <v>1111</v>
      </c>
      <c r="CC25" s="816" t="s">
        <v>1113</v>
      </c>
      <c r="CD25" s="816" t="s">
        <v>996</v>
      </c>
      <c r="CE25" s="816" t="s">
        <v>1242</v>
      </c>
      <c r="CF25" s="816" t="s">
        <v>1125</v>
      </c>
      <c r="CG25" s="816" t="s">
        <v>1126</v>
      </c>
      <c r="CH25" s="816"/>
      <c r="CI25" s="816"/>
      <c r="CJ25" s="816"/>
      <c r="CK25" s="816"/>
      <c r="CL25" s="816"/>
      <c r="CM25" s="816"/>
    </row>
    <row r="26" spans="2:91" ht="133.5" customHeight="1">
      <c r="B26" s="433"/>
      <c r="C26" s="433"/>
      <c r="D26" s="433">
        <v>178</v>
      </c>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816"/>
      <c r="AC26" s="1138"/>
      <c r="AD26" s="1209"/>
      <c r="AE26" s="1210"/>
      <c r="AF26" s="1210"/>
      <c r="AG26" s="411" t="s">
        <v>2138</v>
      </c>
      <c r="AH26" s="411" t="s">
        <v>175</v>
      </c>
      <c r="AI26" s="411" t="s">
        <v>183</v>
      </c>
      <c r="AJ26" s="411" t="s">
        <v>188</v>
      </c>
      <c r="AK26" s="411" t="s">
        <v>194</v>
      </c>
      <c r="AL26" s="1210"/>
      <c r="AM26" s="816"/>
      <c r="AN26" s="816"/>
      <c r="AO26" s="816"/>
      <c r="AP26" s="816"/>
      <c r="AQ26" s="816"/>
      <c r="AR26" s="816"/>
      <c r="AS26" s="816"/>
      <c r="AT26" s="816"/>
      <c r="AU26" s="816"/>
      <c r="AV26" s="816"/>
      <c r="AW26" s="816"/>
      <c r="AX26" s="816"/>
      <c r="AY26" s="816"/>
      <c r="AZ26" s="816"/>
      <c r="BA26" s="816"/>
      <c r="BB26" s="816"/>
      <c r="BC26" s="816"/>
      <c r="BD26" s="816"/>
      <c r="BE26" s="816"/>
      <c r="BF26" s="816"/>
      <c r="BG26" s="816"/>
      <c r="BH26" s="816"/>
      <c r="BI26" s="816"/>
      <c r="BJ26" s="816"/>
      <c r="BK26" s="80" t="s">
        <v>2350</v>
      </c>
      <c r="BL26" s="80" t="s">
        <v>2351</v>
      </c>
      <c r="BM26" s="816"/>
      <c r="BN26" s="816"/>
      <c r="BO26" s="816"/>
      <c r="BP26" s="816"/>
      <c r="BQ26" s="816"/>
      <c r="BR26" s="816"/>
      <c r="BS26" s="816"/>
      <c r="BT26" s="816"/>
      <c r="BU26" s="1157"/>
      <c r="BV26" s="1206"/>
      <c r="BW26" s="1206"/>
      <c r="BX26" s="1206"/>
      <c r="BY26" s="1206"/>
      <c r="BZ26" s="816"/>
      <c r="CA26" s="816"/>
      <c r="CB26" s="816"/>
      <c r="CC26" s="816"/>
      <c r="CD26" s="816"/>
      <c r="CE26" s="816"/>
      <c r="CF26" s="816"/>
      <c r="CG26" s="816"/>
      <c r="CH26" s="816"/>
      <c r="CI26" s="816"/>
      <c r="CJ26" s="816"/>
      <c r="CK26" s="816"/>
      <c r="CL26" s="816"/>
      <c r="CM26" s="816"/>
    </row>
    <row r="27" spans="2:91" ht="13.5" customHeight="1">
      <c r="B27" s="157"/>
      <c r="C27" s="157"/>
      <c r="D27" s="157">
        <v>18</v>
      </c>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816"/>
      <c r="AC27" s="1138"/>
      <c r="AD27" s="80"/>
      <c r="AE27" s="411" t="s">
        <v>633</v>
      </c>
      <c r="AF27" s="411" t="s">
        <v>633</v>
      </c>
      <c r="AG27" s="411" t="s">
        <v>696</v>
      </c>
      <c r="AH27" s="411" t="s">
        <v>696</v>
      </c>
      <c r="AI27" s="411" t="s">
        <v>696</v>
      </c>
      <c r="AJ27" s="411" t="s">
        <v>696</v>
      </c>
      <c r="AK27" s="411" t="s">
        <v>696</v>
      </c>
      <c r="AL27" s="411" t="s">
        <v>633</v>
      </c>
      <c r="AM27" s="80"/>
      <c r="AN27" s="80"/>
      <c r="AO27" s="80" t="s">
        <v>1218</v>
      </c>
      <c r="AP27" s="80" t="s">
        <v>1218</v>
      </c>
      <c r="AQ27" s="80" t="s">
        <v>1218</v>
      </c>
      <c r="AR27" s="80" t="s">
        <v>1218</v>
      </c>
      <c r="AS27" s="80" t="s">
        <v>1218</v>
      </c>
      <c r="AT27" s="80" t="s">
        <v>1218</v>
      </c>
      <c r="AU27" s="80" t="s">
        <v>1218</v>
      </c>
      <c r="AV27" s="80" t="s">
        <v>1218</v>
      </c>
      <c r="AW27" s="80" t="s">
        <v>1218</v>
      </c>
      <c r="AX27" s="80" t="s">
        <v>1218</v>
      </c>
      <c r="AY27" s="80" t="s">
        <v>1218</v>
      </c>
      <c r="AZ27" s="80" t="s">
        <v>1218</v>
      </c>
      <c r="BA27" s="80" t="s">
        <v>1218</v>
      </c>
      <c r="BB27" s="80" t="s">
        <v>1218</v>
      </c>
      <c r="BC27" s="80" t="s">
        <v>1218</v>
      </c>
      <c r="BD27" s="80" t="s">
        <v>1218</v>
      </c>
      <c r="BE27" s="80" t="s">
        <v>1218</v>
      </c>
      <c r="BF27" s="80" t="s">
        <v>1218</v>
      </c>
      <c r="BG27" s="80" t="s">
        <v>1218</v>
      </c>
      <c r="BH27" s="80" t="s">
        <v>1218</v>
      </c>
      <c r="BI27" s="80" t="s">
        <v>1218</v>
      </c>
      <c r="BJ27" s="80" t="s">
        <v>1218</v>
      </c>
      <c r="BK27" s="80" t="s">
        <v>1218</v>
      </c>
      <c r="BL27" s="80" t="s">
        <v>1218</v>
      </c>
      <c r="BM27" s="80" t="s">
        <v>1218</v>
      </c>
      <c r="BN27" s="80" t="s">
        <v>1218</v>
      </c>
      <c r="BO27" s="80" t="s">
        <v>1218</v>
      </c>
      <c r="BP27" s="80" t="s">
        <v>1218</v>
      </c>
      <c r="BQ27" s="80" t="s">
        <v>1218</v>
      </c>
      <c r="BR27" s="80" t="s">
        <v>1218</v>
      </c>
      <c r="BS27" s="80" t="s">
        <v>1218</v>
      </c>
      <c r="BT27" s="80" t="s">
        <v>1218</v>
      </c>
      <c r="BU27" s="80"/>
      <c r="BV27" s="80"/>
      <c r="BW27" s="80"/>
      <c r="BX27" s="80"/>
      <c r="BY27" s="80" t="s">
        <v>1218</v>
      </c>
      <c r="BZ27" s="80" t="s">
        <v>1218</v>
      </c>
      <c r="CA27" s="80" t="s">
        <v>1218</v>
      </c>
      <c r="CB27" s="80" t="s">
        <v>1218</v>
      </c>
      <c r="CC27" s="80" t="s">
        <v>1218</v>
      </c>
      <c r="CD27" s="80" t="s">
        <v>1218</v>
      </c>
      <c r="CE27" s="80" t="s">
        <v>1218</v>
      </c>
      <c r="CF27" s="80" t="s">
        <v>633</v>
      </c>
      <c r="CG27" s="80" t="s">
        <v>1218</v>
      </c>
      <c r="CH27" s="80" t="s">
        <v>1218</v>
      </c>
      <c r="CI27" s="80" t="s">
        <v>1218</v>
      </c>
      <c r="CJ27" s="80" t="s">
        <v>1218</v>
      </c>
      <c r="CK27" s="80" t="s">
        <v>1218</v>
      </c>
      <c r="CL27" s="80" t="s">
        <v>1218</v>
      </c>
      <c r="CM27" s="80" t="s">
        <v>1218</v>
      </c>
    </row>
    <row r="28" spans="2:91" ht="13.5" customHeight="1">
      <c r="B28" s="3" t="b">
        <f>C28&lt;FIRST_PERIOD_IN_LT-3</f>
        <v>1</v>
      </c>
      <c r="C28" s="567">
        <f>C31-1</f>
        <v>2022</v>
      </c>
      <c r="D28" s="1">
        <v>18</v>
      </c>
      <c r="AB28" s="567">
        <f>AB31-1</f>
        <v>2022</v>
      </c>
      <c r="AC28" s="444" t="s">
        <v>752</v>
      </c>
      <c r="AD28" s="80" t="str">
        <f t="shared" ref="AD28:AD42" si="0">AC28&amp;AB28</f>
        <v>План2022</v>
      </c>
      <c r="AE28" s="568" t="e">
        <f>AE29</f>
        <v>#REF!</v>
      </c>
      <c r="AF28" s="568"/>
      <c r="AG28" s="188" t="e">
        <f t="shared" ref="AG28:AG42" si="1">SUM(AH28:AK28)</f>
        <v>#REF!</v>
      </c>
      <c r="AH28" s="529"/>
      <c r="AI28" s="529"/>
      <c r="AJ28" s="529" t="e">
        <f>#REF!</f>
        <v>#REF!</v>
      </c>
      <c r="AK28" s="529" t="e">
        <f>#REF!</f>
        <v>#REF!</v>
      </c>
      <c r="AL28" s="568">
        <f>IFERROR(AM29*(#REF!-#REF!)/#REF!,0)</f>
        <v>0</v>
      </c>
      <c r="AM28" s="529"/>
      <c r="AN28" s="569" t="e">
        <f t="shared" ref="AN28:AN42" si="2">(1+AE28)*(1-AF28)*(1+AL28)</f>
        <v>#REF!</v>
      </c>
      <c r="AO28" s="183">
        <f t="shared" ref="AO28:AO42" si="3">SUM(AP28:AQ28)</f>
        <v>0</v>
      </c>
      <c r="AP28" s="182"/>
      <c r="AQ28" s="182"/>
      <c r="AR28" s="182"/>
      <c r="AS28" s="183">
        <f t="shared" ref="AS28:AS42" si="4">AT28+AU28+BB28+BC28+BD28+BE28+BF28+BG28+BH28</f>
        <v>0</v>
      </c>
      <c r="AT28" s="182"/>
      <c r="AU28" s="183">
        <f t="shared" ref="AU28:AU42" si="5">SUM(AV28:BA28)</f>
        <v>0</v>
      </c>
      <c r="AV28" s="182"/>
      <c r="AW28" s="182"/>
      <c r="AX28" s="182"/>
      <c r="AY28" s="182"/>
      <c r="AZ28" s="182"/>
      <c r="BA28" s="182"/>
      <c r="BB28" s="182"/>
      <c r="BC28" s="182"/>
      <c r="BD28" s="182"/>
      <c r="BE28" s="182"/>
      <c r="BF28" s="182"/>
      <c r="BG28" s="182"/>
      <c r="BH28" s="182"/>
      <c r="BI28" s="188">
        <f t="shared" ref="BI28:BI42" si="6">AO28+AR28+AS28</f>
        <v>0</v>
      </c>
      <c r="BJ28" s="183">
        <f>BK28+BL28</f>
        <v>0</v>
      </c>
      <c r="BK28" s="182"/>
      <c r="BL28" s="182"/>
      <c r="BM28" s="182"/>
      <c r="BN28" s="182"/>
      <c r="BO28" s="182"/>
      <c r="BP28" s="485">
        <f t="shared" ref="BP28:BP42" si="7">SUM(BQ28:BS28)</f>
        <v>0</v>
      </c>
      <c r="BQ28" s="452"/>
      <c r="BR28" s="452"/>
      <c r="BS28" s="452"/>
      <c r="BT28" s="452"/>
      <c r="BU28" s="207">
        <f t="shared" ref="BU28:BU42" si="8">BV28+BW28+BY28</f>
        <v>0</v>
      </c>
      <c r="BV28" s="452"/>
      <c r="BW28" s="452"/>
      <c r="BX28" s="452"/>
      <c r="BY28" s="452"/>
      <c r="BZ28" s="452"/>
      <c r="CA28" s="452"/>
      <c r="CB28" s="452"/>
      <c r="CC28" s="452"/>
      <c r="CD28" s="452"/>
      <c r="CE28" s="452"/>
      <c r="CF28" s="184">
        <f t="shared" ref="CF28:CF42" si="9">IF((CK28-BJ28-CA28-CD28-CE28-BO28)=0,0,(CD28+CE28)/(CK28-BJ28-CA28-CD28-CE28-BO28))</f>
        <v>0</v>
      </c>
      <c r="CG28" s="188">
        <f t="shared" ref="CG28:CG42" si="10">BJ28+BM28+BN28+BP28+BU28+BZ28+CB28+BT28+CC28+CD28+CE28</f>
        <v>0</v>
      </c>
      <c r="CH28" s="182"/>
      <c r="CI28" s="182"/>
      <c r="CJ28" s="529"/>
      <c r="CK28" s="188">
        <f t="shared" ref="CK28:CK42" si="11">SUM(CG28,CI28,BI28,CJ28)</f>
        <v>0</v>
      </c>
      <c r="CL28" s="77"/>
      <c r="CM28" s="77"/>
    </row>
    <row r="29" spans="2:91" ht="19.5" customHeight="1">
      <c r="B29" s="3" t="b">
        <f>C29&lt;FIRST_PERIOD_IN_LT-3</f>
        <v>1</v>
      </c>
      <c r="C29" s="567">
        <f>C28</f>
        <v>2022</v>
      </c>
      <c r="D29" s="1">
        <v>26</v>
      </c>
      <c r="AB29" s="567">
        <f>AB28</f>
        <v>2022</v>
      </c>
      <c r="AC29" s="444" t="s">
        <v>2352</v>
      </c>
      <c r="AD29" s="80" t="str">
        <f t="shared" si="0"/>
        <v>Факт ТСО2022</v>
      </c>
      <c r="AE29" s="568" t="e">
        <f>#REF!</f>
        <v>#REF!</v>
      </c>
      <c r="AF29" s="568" t="e">
        <f>#REF!</f>
        <v>#REF!</v>
      </c>
      <c r="AG29" s="188" t="e">
        <f t="shared" si="1"/>
        <v>#REF!</v>
      </c>
      <c r="AH29" s="529" t="e">
        <f>#REF!</f>
        <v>#REF!</v>
      </c>
      <c r="AI29" s="529"/>
      <c r="AJ29" s="529" t="e">
        <f>AJ28</f>
        <v>#REF!</v>
      </c>
      <c r="AK29" s="529" t="e">
        <f>AK28</f>
        <v>#REF!</v>
      </c>
      <c r="AL29" s="568" t="e">
        <f>#REF!*AM29</f>
        <v>#REF!</v>
      </c>
      <c r="AM29" s="529" t="e">
        <f>#REF!</f>
        <v>#REF!</v>
      </c>
      <c r="AN29" s="569" t="e">
        <f t="shared" si="2"/>
        <v>#REF!</v>
      </c>
      <c r="AO29" s="183" t="e">
        <f t="shared" si="3"/>
        <v>#REF!</v>
      </c>
      <c r="AP29" s="182" t="e">
        <f>#REF!</f>
        <v>#REF!</v>
      </c>
      <c r="AQ29" s="182" t="e">
        <f>#REF!</f>
        <v>#REF!</v>
      </c>
      <c r="AR29" s="182" t="e">
        <f>#REF!</f>
        <v>#REF!</v>
      </c>
      <c r="AS29" s="183" t="e">
        <f t="shared" si="4"/>
        <v>#REF!</v>
      </c>
      <c r="AT29" s="182" t="e">
        <f>#REF!</f>
        <v>#REF!</v>
      </c>
      <c r="AU29" s="183" t="e">
        <f t="shared" si="5"/>
        <v>#REF!</v>
      </c>
      <c r="AV29" s="182" t="e">
        <f>#REF!</f>
        <v>#REF!</v>
      </c>
      <c r="AW29" s="182" t="e">
        <f>#REF!</f>
        <v>#REF!</v>
      </c>
      <c r="AX29" s="182" t="e">
        <f>#REF!</f>
        <v>#REF!</v>
      </c>
      <c r="AY29" s="182" t="e">
        <f>#REF!</f>
        <v>#REF!</v>
      </c>
      <c r="AZ29" s="182" t="e">
        <f>#REF!</f>
        <v>#REF!</v>
      </c>
      <c r="BA29" s="182" t="e">
        <f>#REF!</f>
        <v>#REF!</v>
      </c>
      <c r="BB29" s="182" t="e">
        <f>#REF!</f>
        <v>#REF!</v>
      </c>
      <c r="BC29" s="182" t="e">
        <f>#REF!</f>
        <v>#REF!</v>
      </c>
      <c r="BD29" s="182" t="e">
        <f>#REF!</f>
        <v>#REF!</v>
      </c>
      <c r="BE29" s="182" t="e">
        <f>#REF!</f>
        <v>#REF!</v>
      </c>
      <c r="BF29" s="182" t="e">
        <f>#REF!+#REF!</f>
        <v>#REF!</v>
      </c>
      <c r="BG29" s="182" t="e">
        <f>#REF!</f>
        <v>#REF!</v>
      </c>
      <c r="BH29" s="182" t="e">
        <f>#REF!</f>
        <v>#REF!</v>
      </c>
      <c r="BI29" s="188" t="e">
        <f t="shared" si="6"/>
        <v>#REF!</v>
      </c>
      <c r="BJ29" s="183" t="e">
        <f>#REF!</f>
        <v>#REF!</v>
      </c>
      <c r="BK29" s="182"/>
      <c r="BL29" s="183" t="e">
        <f t="shared" ref="BL29:BL42" si="12">BJ29-BK29</f>
        <v>#REF!</v>
      </c>
      <c r="BM29" s="182" t="e">
        <f>#REF!</f>
        <v>#REF!</v>
      </c>
      <c r="BN29" s="182" t="e">
        <f>#REF!</f>
        <v>#REF!</v>
      </c>
      <c r="BO29" s="182" t="e">
        <f>#REF!</f>
        <v>#REF!</v>
      </c>
      <c r="BP29" s="485" t="e">
        <f t="shared" si="7"/>
        <v>#REF!</v>
      </c>
      <c r="BQ29" s="452" t="e">
        <f>#REF!</f>
        <v>#REF!</v>
      </c>
      <c r="BR29" s="452" t="e">
        <f>#REF!</f>
        <v>#REF!</v>
      </c>
      <c r="BS29" s="452" t="e">
        <f>#REF!+#REF!</f>
        <v>#REF!</v>
      </c>
      <c r="BT29" s="452" t="e">
        <f>#REF!</f>
        <v>#REF!</v>
      </c>
      <c r="BU29" s="207" t="e">
        <f t="shared" si="8"/>
        <v>#REF!</v>
      </c>
      <c r="BV29" s="452" t="e">
        <f>#REF!</f>
        <v>#REF!</v>
      </c>
      <c r="BW29" s="452" t="e">
        <f>#REF!</f>
        <v>#REF!</v>
      </c>
      <c r="BX29" s="452" t="e">
        <f>#REF!</f>
        <v>#REF!</v>
      </c>
      <c r="BY29" s="452" t="e">
        <f>#REF!+#REF!+#REF!</f>
        <v>#REF!</v>
      </c>
      <c r="BZ29" s="452" t="e">
        <f>#REF!</f>
        <v>#REF!</v>
      </c>
      <c r="CA29" s="452" t="e">
        <f>#REF!</f>
        <v>#REF!</v>
      </c>
      <c r="CB29" s="452" t="e">
        <f>#REF!</f>
        <v>#REF!</v>
      </c>
      <c r="CC29" s="452" t="e">
        <f>#REF!</f>
        <v>#REF!</v>
      </c>
      <c r="CD29" s="452" t="e">
        <f>#REF!</f>
        <v>#REF!</v>
      </c>
      <c r="CE29" s="452" t="e">
        <f>#REF!</f>
        <v>#REF!</v>
      </c>
      <c r="CF29" s="184" t="e">
        <f t="shared" si="9"/>
        <v>#REF!</v>
      </c>
      <c r="CG29" s="188" t="e">
        <f t="shared" si="10"/>
        <v>#REF!</v>
      </c>
      <c r="CH29" s="182"/>
      <c r="CI29" s="182" t="e">
        <f>#REF!</f>
        <v>#REF!</v>
      </c>
      <c r="CJ29" s="529" t="e">
        <f>#REF!</f>
        <v>#REF!</v>
      </c>
      <c r="CK29" s="188" t="e">
        <f t="shared" si="11"/>
        <v>#REF!</v>
      </c>
      <c r="CL29" s="188" t="e">
        <f>#REF!</f>
        <v>#REF!</v>
      </c>
      <c r="CM29" s="188" t="e">
        <f t="shared" ref="CM29:CM42" si="13">CL29-CK29</f>
        <v>#REF!</v>
      </c>
    </row>
    <row r="30" spans="2:91" ht="21.75" hidden="1" customHeight="1">
      <c r="B30" s="3" t="b">
        <f>REPORT_OWNER&lt;&gt;"Версия организации"</f>
        <v>0</v>
      </c>
      <c r="C30" s="567">
        <f>C29</f>
        <v>2022</v>
      </c>
      <c r="D30" s="1">
        <v>36</v>
      </c>
      <c r="AB30" s="567">
        <f>AB29</f>
        <v>2022</v>
      </c>
      <c r="AC30" s="444" t="s">
        <v>2353</v>
      </c>
      <c r="AD30" s="80" t="str">
        <f t="shared" si="0"/>
        <v>Экономически-обоснованный факт, признанный РЭК2022</v>
      </c>
      <c r="AE30" s="570" t="e">
        <f>#REF!</f>
        <v>#REF!</v>
      </c>
      <c r="AF30" s="570" t="e">
        <f>#REF!</f>
        <v>#REF!</v>
      </c>
      <c r="AG30" s="188">
        <f t="shared" si="1"/>
        <v>0</v>
      </c>
      <c r="AH30" s="530"/>
      <c r="AI30" s="530"/>
      <c r="AJ30" s="530"/>
      <c r="AK30" s="530"/>
      <c r="AL30" s="570" t="e">
        <f>#REF!*AM30</f>
        <v>#REF!</v>
      </c>
      <c r="AM30" s="530" t="e">
        <f>#REF!</f>
        <v>#REF!</v>
      </c>
      <c r="AN30" s="569" t="e">
        <f t="shared" si="2"/>
        <v>#REF!</v>
      </c>
      <c r="AO30" s="183" t="e">
        <f t="shared" si="3"/>
        <v>#REF!</v>
      </c>
      <c r="AP30" s="181" t="e">
        <f>#REF!</f>
        <v>#REF!</v>
      </c>
      <c r="AQ30" s="181" t="e">
        <f>#REF!</f>
        <v>#REF!</v>
      </c>
      <c r="AR30" s="181" t="e">
        <f>#REF!</f>
        <v>#REF!</v>
      </c>
      <c r="AS30" s="183" t="e">
        <f t="shared" si="4"/>
        <v>#REF!</v>
      </c>
      <c r="AT30" s="181" t="e">
        <f>#REF!</f>
        <v>#REF!</v>
      </c>
      <c r="AU30" s="183" t="e">
        <f t="shared" si="5"/>
        <v>#REF!</v>
      </c>
      <c r="AV30" s="181" t="e">
        <f>#REF!</f>
        <v>#REF!</v>
      </c>
      <c r="AW30" s="181" t="e">
        <f>#REF!</f>
        <v>#REF!</v>
      </c>
      <c r="AX30" s="181" t="e">
        <f>#REF!</f>
        <v>#REF!</v>
      </c>
      <c r="AY30" s="181" t="e">
        <f>#REF!</f>
        <v>#REF!</v>
      </c>
      <c r="AZ30" s="181" t="e">
        <f>#REF!</f>
        <v>#REF!</v>
      </c>
      <c r="BA30" s="181" t="e">
        <f>#REF!</f>
        <v>#REF!</v>
      </c>
      <c r="BB30" s="181" t="e">
        <f>#REF!</f>
        <v>#REF!</v>
      </c>
      <c r="BC30" s="181" t="e">
        <f>#REF!</f>
        <v>#REF!</v>
      </c>
      <c r="BD30" s="181" t="e">
        <f>#REF!</f>
        <v>#REF!</v>
      </c>
      <c r="BE30" s="181" t="e">
        <f>#REF!</f>
        <v>#REF!</v>
      </c>
      <c r="BF30" s="181" t="e">
        <f>#REF!+#REF!</f>
        <v>#REF!</v>
      </c>
      <c r="BG30" s="181" t="e">
        <f>#REF!</f>
        <v>#REF!</v>
      </c>
      <c r="BH30" s="181" t="e">
        <f>#REF!</f>
        <v>#REF!</v>
      </c>
      <c r="BI30" s="188" t="e">
        <f t="shared" si="6"/>
        <v>#REF!</v>
      </c>
      <c r="BJ30" s="183" t="e">
        <f>#REF!</f>
        <v>#REF!</v>
      </c>
      <c r="BK30" s="181"/>
      <c r="BL30" s="183" t="e">
        <f t="shared" si="12"/>
        <v>#REF!</v>
      </c>
      <c r="BM30" s="181" t="e">
        <f>#REF!</f>
        <v>#REF!</v>
      </c>
      <c r="BN30" s="181" t="e">
        <f>#REF!</f>
        <v>#REF!</v>
      </c>
      <c r="BO30" s="181" t="e">
        <f>#REF!</f>
        <v>#REF!</v>
      </c>
      <c r="BP30" s="485" t="e">
        <f t="shared" si="7"/>
        <v>#REF!</v>
      </c>
      <c r="BQ30" s="453" t="e">
        <f>#REF!</f>
        <v>#REF!</v>
      </c>
      <c r="BR30" s="453" t="e">
        <f>#REF!</f>
        <v>#REF!</v>
      </c>
      <c r="BS30" s="453" t="e">
        <f>#REF!+#REF!</f>
        <v>#REF!</v>
      </c>
      <c r="BT30" s="453" t="e">
        <f>#REF!</f>
        <v>#REF!</v>
      </c>
      <c r="BU30" s="207" t="e">
        <f t="shared" si="8"/>
        <v>#REF!</v>
      </c>
      <c r="BV30" s="453" t="e">
        <f>#REF!</f>
        <v>#REF!</v>
      </c>
      <c r="BW30" s="453" t="e">
        <f>#REF!</f>
        <v>#REF!</v>
      </c>
      <c r="BX30" s="453" t="e">
        <f>#REF!</f>
        <v>#REF!</v>
      </c>
      <c r="BY30" s="453" t="e">
        <f>#REF!+#REF!+#REF!</f>
        <v>#REF!</v>
      </c>
      <c r="BZ30" s="453" t="e">
        <f>#REF!</f>
        <v>#REF!</v>
      </c>
      <c r="CA30" s="453" t="e">
        <f>#REF!</f>
        <v>#REF!</v>
      </c>
      <c r="CB30" s="453" t="e">
        <f>#REF!</f>
        <v>#REF!</v>
      </c>
      <c r="CC30" s="453" t="e">
        <f>#REF!</f>
        <v>#REF!</v>
      </c>
      <c r="CD30" s="453" t="e">
        <f>#REF!</f>
        <v>#REF!</v>
      </c>
      <c r="CE30" s="453"/>
      <c r="CF30" s="184" t="e">
        <f t="shared" si="9"/>
        <v>#REF!</v>
      </c>
      <c r="CG30" s="188" t="e">
        <f t="shared" si="10"/>
        <v>#REF!</v>
      </c>
      <c r="CH30" s="181"/>
      <c r="CI30" s="181" t="e">
        <f>#REF!</f>
        <v>#REF!</v>
      </c>
      <c r="CJ30" s="530" t="e">
        <f>#REF!</f>
        <v>#REF!</v>
      </c>
      <c r="CK30" s="188" t="e">
        <f t="shared" si="11"/>
        <v>#REF!</v>
      </c>
      <c r="CL30" s="188" t="e">
        <f>#REF!</f>
        <v>#REF!</v>
      </c>
      <c r="CM30" s="188" t="e">
        <f t="shared" si="13"/>
        <v>#REF!</v>
      </c>
    </row>
    <row r="31" spans="2:91" ht="11.25" hidden="1" customHeight="1">
      <c r="B31" s="3" t="b">
        <f>C31&lt;FIRST_PERIOD_IN_LT-3</f>
        <v>0</v>
      </c>
      <c r="C31" s="567">
        <f>C33</f>
        <v>2023</v>
      </c>
      <c r="D31" s="1">
        <v>0</v>
      </c>
      <c r="AB31" s="567">
        <f>AB33</f>
        <v>2023</v>
      </c>
      <c r="AC31" s="444" t="s">
        <v>752</v>
      </c>
      <c r="AD31" s="567" t="str">
        <f t="shared" si="0"/>
        <v>План2023</v>
      </c>
      <c r="AE31" s="570" t="e">
        <f>#REF!</f>
        <v>#REF!</v>
      </c>
      <c r="AF31" s="570" t="e">
        <f>#REF!</f>
        <v>#REF!</v>
      </c>
      <c r="AG31" s="188" t="e">
        <f t="shared" si="1"/>
        <v>#REF!</v>
      </c>
      <c r="AH31" s="530" t="e">
        <f>#REF!</f>
        <v>#REF!</v>
      </c>
      <c r="AI31" s="530" t="e">
        <f>#REF!</f>
        <v>#REF!</v>
      </c>
      <c r="AJ31" s="530" t="e">
        <f>#REF!</f>
        <v>#REF!</v>
      </c>
      <c r="AK31" s="530" t="e">
        <f>#REF!</f>
        <v>#REF!</v>
      </c>
      <c r="AL31" s="570" t="e">
        <f>#REF!*AM31</f>
        <v>#REF!</v>
      </c>
      <c r="AM31" s="530" t="e">
        <f>#REF!</f>
        <v>#REF!</v>
      </c>
      <c r="AN31" s="569" t="e">
        <f t="shared" si="2"/>
        <v>#REF!</v>
      </c>
      <c r="AO31" s="183" t="e">
        <f t="shared" si="3"/>
        <v>#REF!</v>
      </c>
      <c r="AP31" s="181" t="e">
        <f>#REF!</f>
        <v>#REF!</v>
      </c>
      <c r="AQ31" s="181" t="e">
        <f>#REF!</f>
        <v>#REF!</v>
      </c>
      <c r="AR31" s="181" t="e">
        <f>#REF!</f>
        <v>#REF!</v>
      </c>
      <c r="AS31" s="183" t="e">
        <f t="shared" si="4"/>
        <v>#REF!</v>
      </c>
      <c r="AT31" s="181" t="e">
        <f>#REF!</f>
        <v>#REF!</v>
      </c>
      <c r="AU31" s="183" t="e">
        <f t="shared" si="5"/>
        <v>#REF!</v>
      </c>
      <c r="AV31" s="181" t="e">
        <f>#REF!</f>
        <v>#REF!</v>
      </c>
      <c r="AW31" s="181" t="e">
        <f>#REF!</f>
        <v>#REF!</v>
      </c>
      <c r="AX31" s="181" t="e">
        <f>#REF!</f>
        <v>#REF!</v>
      </c>
      <c r="AY31" s="181" t="e">
        <f>#REF!</f>
        <v>#REF!</v>
      </c>
      <c r="AZ31" s="181" t="e">
        <f>#REF!</f>
        <v>#REF!</v>
      </c>
      <c r="BA31" s="181" t="e">
        <f>#REF!</f>
        <v>#REF!</v>
      </c>
      <c r="BB31" s="181" t="e">
        <f>#REF!</f>
        <v>#REF!</v>
      </c>
      <c r="BC31" s="181" t="e">
        <f>#REF!</f>
        <v>#REF!</v>
      </c>
      <c r="BD31" s="181" t="e">
        <f>#REF!</f>
        <v>#REF!</v>
      </c>
      <c r="BE31" s="181" t="e">
        <f>#REF!</f>
        <v>#REF!</v>
      </c>
      <c r="BF31" s="181" t="e">
        <f>#REF!+#REF!</f>
        <v>#REF!</v>
      </c>
      <c r="BG31" s="181" t="e">
        <f>#REF!</f>
        <v>#REF!</v>
      </c>
      <c r="BH31" s="181" t="e">
        <f>#REF!</f>
        <v>#REF!</v>
      </c>
      <c r="BI31" s="188" t="e">
        <f t="shared" si="6"/>
        <v>#REF!</v>
      </c>
      <c r="BJ31" s="183" t="e">
        <f>#REF!</f>
        <v>#REF!</v>
      </c>
      <c r="BK31" s="181"/>
      <c r="BL31" s="183" t="e">
        <f t="shared" si="12"/>
        <v>#REF!</v>
      </c>
      <c r="BM31" s="181" t="e">
        <f>#REF!</f>
        <v>#REF!</v>
      </c>
      <c r="BN31" s="181" t="e">
        <f>#REF!</f>
        <v>#REF!</v>
      </c>
      <c r="BO31" s="181" t="e">
        <f>#REF!</f>
        <v>#REF!</v>
      </c>
      <c r="BP31" s="485" t="e">
        <f t="shared" si="7"/>
        <v>#REF!</v>
      </c>
      <c r="BQ31" s="453" t="e">
        <f>#REF!</f>
        <v>#REF!</v>
      </c>
      <c r="BR31" s="453" t="e">
        <f>#REF!</f>
        <v>#REF!</v>
      </c>
      <c r="BS31" s="453" t="e">
        <f>#REF!+#REF!</f>
        <v>#REF!</v>
      </c>
      <c r="BT31" s="453" t="e">
        <f>#REF!</f>
        <v>#REF!</v>
      </c>
      <c r="BU31" s="207" t="e">
        <f t="shared" si="8"/>
        <v>#REF!</v>
      </c>
      <c r="BV31" s="453" t="e">
        <f>#REF!</f>
        <v>#REF!</v>
      </c>
      <c r="BW31" s="453" t="e">
        <f>#REF!</f>
        <v>#REF!</v>
      </c>
      <c r="BX31" s="453" t="e">
        <f>#REF!</f>
        <v>#REF!</v>
      </c>
      <c r="BY31" s="453" t="e">
        <f>#REF!+#REF!+#REF!</f>
        <v>#REF!</v>
      </c>
      <c r="BZ31" s="453" t="e">
        <f>#REF!</f>
        <v>#REF!</v>
      </c>
      <c r="CA31" s="453" t="e">
        <f>#REF!</f>
        <v>#REF!</v>
      </c>
      <c r="CB31" s="453" t="e">
        <f>#REF!</f>
        <v>#REF!</v>
      </c>
      <c r="CC31" s="453" t="e">
        <f>#REF!</f>
        <v>#REF!</v>
      </c>
      <c r="CD31" s="453" t="e">
        <f>#REF!</f>
        <v>#REF!</v>
      </c>
      <c r="CE31" s="453" t="e">
        <f>#REF!</f>
        <v>#REF!</v>
      </c>
      <c r="CF31" s="184" t="e">
        <f t="shared" si="9"/>
        <v>#REF!</v>
      </c>
      <c r="CG31" s="188" t="e">
        <f t="shared" si="10"/>
        <v>#REF!</v>
      </c>
      <c r="CH31" s="181"/>
      <c r="CI31" s="181" t="e">
        <f>#REF!</f>
        <v>#REF!</v>
      </c>
      <c r="CJ31" s="530" t="e">
        <f>#REF!</f>
        <v>#REF!</v>
      </c>
      <c r="CK31" s="188" t="e">
        <f t="shared" si="11"/>
        <v>#REF!</v>
      </c>
      <c r="CL31" s="188" t="e">
        <f>#REF!</f>
        <v>#REF!</v>
      </c>
      <c r="CM31" s="188" t="e">
        <f t="shared" si="13"/>
        <v>#REF!</v>
      </c>
    </row>
    <row r="32" spans="2:91" ht="11.25" hidden="1" customHeight="1">
      <c r="B32" s="3" t="b">
        <f>C32&lt;FIRST_PERIOD_IN_LT-3</f>
        <v>0</v>
      </c>
      <c r="C32" s="567">
        <f>C33</f>
        <v>2023</v>
      </c>
      <c r="D32" s="1">
        <v>0</v>
      </c>
      <c r="AB32" s="567">
        <f>AB33</f>
        <v>2023</v>
      </c>
      <c r="AC32" s="444" t="s">
        <v>2352</v>
      </c>
      <c r="AD32" s="567" t="str">
        <f t="shared" si="0"/>
        <v>Факт ТСО2023</v>
      </c>
      <c r="AE32" s="570" t="e">
        <f>#REF!</f>
        <v>#REF!</v>
      </c>
      <c r="AF32" s="570" t="e">
        <f>#REF!</f>
        <v>#REF!</v>
      </c>
      <c r="AG32" s="188" t="e">
        <f t="shared" si="1"/>
        <v>#REF!</v>
      </c>
      <c r="AH32" s="530" t="e">
        <f>#REF!</f>
        <v>#REF!</v>
      </c>
      <c r="AI32" s="530" t="e">
        <f>#REF!</f>
        <v>#REF!</v>
      </c>
      <c r="AJ32" s="530" t="e">
        <f>#REF!</f>
        <v>#REF!</v>
      </c>
      <c r="AK32" s="530" t="e">
        <f>#REF!</f>
        <v>#REF!</v>
      </c>
      <c r="AL32" s="570" t="e">
        <f>AL31</f>
        <v>#REF!</v>
      </c>
      <c r="AM32" s="530" t="e">
        <f>#REF!</f>
        <v>#REF!</v>
      </c>
      <c r="AN32" s="569" t="e">
        <f t="shared" si="2"/>
        <v>#REF!</v>
      </c>
      <c r="AO32" s="183" t="e">
        <f t="shared" si="3"/>
        <v>#REF!</v>
      </c>
      <c r="AP32" s="181" t="e">
        <f>#REF!</f>
        <v>#REF!</v>
      </c>
      <c r="AQ32" s="181" t="e">
        <f>#REF!</f>
        <v>#REF!</v>
      </c>
      <c r="AR32" s="181" t="e">
        <f>#REF!</f>
        <v>#REF!</v>
      </c>
      <c r="AS32" s="183" t="e">
        <f t="shared" si="4"/>
        <v>#REF!</v>
      </c>
      <c r="AT32" s="181" t="e">
        <f>#REF!</f>
        <v>#REF!</v>
      </c>
      <c r="AU32" s="183" t="e">
        <f t="shared" si="5"/>
        <v>#REF!</v>
      </c>
      <c r="AV32" s="181" t="e">
        <f>#REF!</f>
        <v>#REF!</v>
      </c>
      <c r="AW32" s="181" t="e">
        <f>#REF!</f>
        <v>#REF!</v>
      </c>
      <c r="AX32" s="181" t="e">
        <f>#REF!</f>
        <v>#REF!</v>
      </c>
      <c r="AY32" s="181" t="e">
        <f>#REF!</f>
        <v>#REF!</v>
      </c>
      <c r="AZ32" s="181" t="e">
        <f>#REF!</f>
        <v>#REF!</v>
      </c>
      <c r="BA32" s="181" t="e">
        <f>#REF!</f>
        <v>#REF!</v>
      </c>
      <c r="BB32" s="181" t="e">
        <f>#REF!</f>
        <v>#REF!</v>
      </c>
      <c r="BC32" s="181" t="e">
        <f>#REF!</f>
        <v>#REF!</v>
      </c>
      <c r="BD32" s="181" t="e">
        <f>#REF!</f>
        <v>#REF!</v>
      </c>
      <c r="BE32" s="181" t="e">
        <f>#REF!</f>
        <v>#REF!</v>
      </c>
      <c r="BF32" s="181" t="e">
        <f>#REF!+#REF!</f>
        <v>#REF!</v>
      </c>
      <c r="BG32" s="181" t="e">
        <f>#REF!</f>
        <v>#REF!</v>
      </c>
      <c r="BH32" s="181" t="e">
        <f>#REF!</f>
        <v>#REF!</v>
      </c>
      <c r="BI32" s="188" t="e">
        <f t="shared" si="6"/>
        <v>#REF!</v>
      </c>
      <c r="BJ32" s="183" t="e">
        <f>#REF!</f>
        <v>#REF!</v>
      </c>
      <c r="BK32" s="181"/>
      <c r="BL32" s="183" t="e">
        <f t="shared" si="12"/>
        <v>#REF!</v>
      </c>
      <c r="BM32" s="181" t="e">
        <f>#REF!</f>
        <v>#REF!</v>
      </c>
      <c r="BN32" s="181" t="e">
        <f>#REF!</f>
        <v>#REF!</v>
      </c>
      <c r="BO32" s="181" t="e">
        <f>#REF!</f>
        <v>#REF!</v>
      </c>
      <c r="BP32" s="485" t="e">
        <f t="shared" si="7"/>
        <v>#REF!</v>
      </c>
      <c r="BQ32" s="453" t="e">
        <f>#REF!</f>
        <v>#REF!</v>
      </c>
      <c r="BR32" s="453" t="e">
        <f>#REF!</f>
        <v>#REF!</v>
      </c>
      <c r="BS32" s="453" t="e">
        <f>#REF!+#REF!</f>
        <v>#REF!</v>
      </c>
      <c r="BT32" s="453" t="e">
        <f>#REF!</f>
        <v>#REF!</v>
      </c>
      <c r="BU32" s="207" t="e">
        <f t="shared" si="8"/>
        <v>#REF!</v>
      </c>
      <c r="BV32" s="453" t="e">
        <f>#REF!</f>
        <v>#REF!</v>
      </c>
      <c r="BW32" s="453" t="e">
        <f>#REF!</f>
        <v>#REF!</v>
      </c>
      <c r="BX32" s="453" t="e">
        <f>#REF!</f>
        <v>#REF!</v>
      </c>
      <c r="BY32" s="453" t="e">
        <f>#REF!+#REF!+#REF!</f>
        <v>#REF!</v>
      </c>
      <c r="BZ32" s="453" t="e">
        <f>#REF!</f>
        <v>#REF!</v>
      </c>
      <c r="CA32" s="453" t="e">
        <f>#REF!</f>
        <v>#REF!</v>
      </c>
      <c r="CB32" s="453" t="e">
        <f>#REF!</f>
        <v>#REF!</v>
      </c>
      <c r="CC32" s="453" t="e">
        <f>#REF!</f>
        <v>#REF!</v>
      </c>
      <c r="CD32" s="453" t="e">
        <f>#REF!</f>
        <v>#REF!</v>
      </c>
      <c r="CE32" s="453" t="e">
        <f>#REF!</f>
        <v>#REF!</v>
      </c>
      <c r="CF32" s="184" t="e">
        <f t="shared" si="9"/>
        <v>#REF!</v>
      </c>
      <c r="CG32" s="188" t="e">
        <f t="shared" si="10"/>
        <v>#REF!</v>
      </c>
      <c r="CH32" s="181"/>
      <c r="CI32" s="181" t="e">
        <f>#REF!</f>
        <v>#REF!</v>
      </c>
      <c r="CJ32" s="530" t="e">
        <f>#REF!</f>
        <v>#REF!</v>
      </c>
      <c r="CK32" s="188" t="e">
        <f t="shared" si="11"/>
        <v>#REF!</v>
      </c>
      <c r="CL32" s="188" t="e">
        <f>#REF!</f>
        <v>#REF!</v>
      </c>
      <c r="CM32" s="188" t="e">
        <f t="shared" si="13"/>
        <v>#REF!</v>
      </c>
    </row>
    <row r="33" spans="2:91" ht="22.5" hidden="1" customHeight="1">
      <c r="B33" s="3" t="b">
        <f t="shared" ref="B33:B40" si="14">IFERROR(AND(REPORT_OWNER&lt;&gt;"Версия организации",C33&gt;=FIRST_PERIOD_IN_LT-3),FALSE)</f>
        <v>0</v>
      </c>
      <c r="C33" s="567">
        <f>C34-1</f>
        <v>2023</v>
      </c>
      <c r="D33" s="1">
        <v>36</v>
      </c>
      <c r="AB33" s="567">
        <f>AB34-1</f>
        <v>2023</v>
      </c>
      <c r="AC33" s="444" t="s">
        <v>2354</v>
      </c>
      <c r="AD33" s="567" t="str">
        <f t="shared" si="0"/>
        <v>Факт, признанный РЭК2023</v>
      </c>
      <c r="AE33" s="570" t="e">
        <f>#REF!</f>
        <v>#REF!</v>
      </c>
      <c r="AF33" s="570" t="e">
        <f>#REF!</f>
        <v>#REF!</v>
      </c>
      <c r="AG33" s="188">
        <f t="shared" si="1"/>
        <v>0</v>
      </c>
      <c r="AH33" s="530"/>
      <c r="AI33" s="530"/>
      <c r="AJ33" s="530"/>
      <c r="AK33" s="530"/>
      <c r="AL33" s="570" t="e">
        <f>#REF!*AM33</f>
        <v>#REF!</v>
      </c>
      <c r="AM33" s="530" t="e">
        <f>#REF!</f>
        <v>#REF!</v>
      </c>
      <c r="AN33" s="569" t="e">
        <f t="shared" si="2"/>
        <v>#REF!</v>
      </c>
      <c r="AO33" s="183" t="e">
        <f t="shared" si="3"/>
        <v>#REF!</v>
      </c>
      <c r="AP33" s="181" t="e">
        <f>#REF!</f>
        <v>#REF!</v>
      </c>
      <c r="AQ33" s="181" t="e">
        <f>#REF!</f>
        <v>#REF!</v>
      </c>
      <c r="AR33" s="181" t="e">
        <f>#REF!</f>
        <v>#REF!</v>
      </c>
      <c r="AS33" s="183" t="e">
        <f t="shared" si="4"/>
        <v>#REF!</v>
      </c>
      <c r="AT33" s="181" t="e">
        <f>#REF!</f>
        <v>#REF!</v>
      </c>
      <c r="AU33" s="183" t="e">
        <f t="shared" si="5"/>
        <v>#REF!</v>
      </c>
      <c r="AV33" s="181" t="e">
        <f>#REF!</f>
        <v>#REF!</v>
      </c>
      <c r="AW33" s="181" t="e">
        <f>#REF!</f>
        <v>#REF!</v>
      </c>
      <c r="AX33" s="181" t="e">
        <f>#REF!</f>
        <v>#REF!</v>
      </c>
      <c r="AY33" s="181" t="e">
        <f>#REF!</f>
        <v>#REF!</v>
      </c>
      <c r="AZ33" s="181" t="e">
        <f>#REF!</f>
        <v>#REF!</v>
      </c>
      <c r="BA33" s="181" t="e">
        <f>#REF!</f>
        <v>#REF!</v>
      </c>
      <c r="BB33" s="181" t="e">
        <f>#REF!</f>
        <v>#REF!</v>
      </c>
      <c r="BC33" s="181" t="e">
        <f>#REF!</f>
        <v>#REF!</v>
      </c>
      <c r="BD33" s="181" t="e">
        <f>#REF!</f>
        <v>#REF!</v>
      </c>
      <c r="BE33" s="181" t="e">
        <f>#REF!</f>
        <v>#REF!</v>
      </c>
      <c r="BF33" s="181" t="e">
        <f>#REF!+#REF!</f>
        <v>#REF!</v>
      </c>
      <c r="BG33" s="181" t="e">
        <f>#REF!</f>
        <v>#REF!</v>
      </c>
      <c r="BH33" s="181" t="e">
        <f>#REF!</f>
        <v>#REF!</v>
      </c>
      <c r="BI33" s="188" t="e">
        <f t="shared" si="6"/>
        <v>#REF!</v>
      </c>
      <c r="BJ33" s="183" t="e">
        <f>#REF!</f>
        <v>#REF!</v>
      </c>
      <c r="BK33" s="181"/>
      <c r="BL33" s="183" t="e">
        <f t="shared" si="12"/>
        <v>#REF!</v>
      </c>
      <c r="BM33" s="181" t="e">
        <f>#REF!</f>
        <v>#REF!</v>
      </c>
      <c r="BN33" s="181" t="e">
        <f>#REF!</f>
        <v>#REF!</v>
      </c>
      <c r="BO33" s="181" t="e">
        <f>#REF!</f>
        <v>#REF!</v>
      </c>
      <c r="BP33" s="485" t="e">
        <f t="shared" si="7"/>
        <v>#REF!</v>
      </c>
      <c r="BQ33" s="453" t="e">
        <f>#REF!</f>
        <v>#REF!</v>
      </c>
      <c r="BR33" s="453" t="e">
        <f>#REF!</f>
        <v>#REF!</v>
      </c>
      <c r="BS33" s="453" t="e">
        <f>#REF!+#REF!</f>
        <v>#REF!</v>
      </c>
      <c r="BT33" s="453" t="e">
        <f>#REF!</f>
        <v>#REF!</v>
      </c>
      <c r="BU33" s="207" t="e">
        <f t="shared" si="8"/>
        <v>#REF!</v>
      </c>
      <c r="BV33" s="453" t="e">
        <f>#REF!</f>
        <v>#REF!</v>
      </c>
      <c r="BW33" s="453" t="e">
        <f>#REF!</f>
        <v>#REF!</v>
      </c>
      <c r="BX33" s="453" t="e">
        <f>#REF!</f>
        <v>#REF!</v>
      </c>
      <c r="BY33" s="453" t="e">
        <f>#REF!+#REF!+#REF!</f>
        <v>#REF!</v>
      </c>
      <c r="BZ33" s="453" t="e">
        <f>#REF!</f>
        <v>#REF!</v>
      </c>
      <c r="CA33" s="453" t="e">
        <f>#REF!</f>
        <v>#REF!</v>
      </c>
      <c r="CB33" s="453" t="e">
        <f>#REF!</f>
        <v>#REF!</v>
      </c>
      <c r="CC33" s="453" t="e">
        <f>#REF!</f>
        <v>#REF!</v>
      </c>
      <c r="CD33" s="453" t="e">
        <f>#REF!</f>
        <v>#REF!</v>
      </c>
      <c r="CE33" s="453" t="e">
        <f>#REF!</f>
        <v>#REF!</v>
      </c>
      <c r="CF33" s="184" t="e">
        <f t="shared" si="9"/>
        <v>#REF!</v>
      </c>
      <c r="CG33" s="188" t="e">
        <f t="shared" si="10"/>
        <v>#REF!</v>
      </c>
      <c r="CH33" s="181"/>
      <c r="CI33" s="181" t="e">
        <f>#REF!</f>
        <v>#REF!</v>
      </c>
      <c r="CJ33" s="530" t="e">
        <f>#REF!</f>
        <v>#REF!</v>
      </c>
      <c r="CK33" s="188" t="e">
        <f t="shared" si="11"/>
        <v>#REF!</v>
      </c>
      <c r="CL33" s="188" t="e">
        <f>#REF!</f>
        <v>#REF!</v>
      </c>
      <c r="CM33" s="188" t="e">
        <f t="shared" si="13"/>
        <v>#REF!</v>
      </c>
    </row>
    <row r="34" spans="2:91" ht="15.75" hidden="1" customHeight="1">
      <c r="B34" s="3" t="b">
        <f t="shared" si="14"/>
        <v>0</v>
      </c>
      <c r="C34" s="567">
        <f>C36</f>
        <v>2024</v>
      </c>
      <c r="D34" s="1">
        <v>26</v>
      </c>
      <c r="AB34" s="567">
        <f>AB36</f>
        <v>2024</v>
      </c>
      <c r="AC34" s="444" t="s">
        <v>752</v>
      </c>
      <c r="AD34" s="567" t="str">
        <f t="shared" si="0"/>
        <v>План2024</v>
      </c>
      <c r="AE34" s="571" t="e">
        <f>#REF!</f>
        <v>#REF!</v>
      </c>
      <c r="AF34" s="571" t="e">
        <f>#REF!</f>
        <v>#REF!</v>
      </c>
      <c r="AG34" s="188" t="e">
        <f t="shared" si="1"/>
        <v>#REF!</v>
      </c>
      <c r="AH34" s="183" t="e">
        <f>#REF!</f>
        <v>#REF!</v>
      </c>
      <c r="AI34" s="183" t="e">
        <f>#REF!</f>
        <v>#REF!</v>
      </c>
      <c r="AJ34" s="183" t="e">
        <f>#REF!</f>
        <v>#REF!</v>
      </c>
      <c r="AK34" s="183" t="e">
        <f>#REF!</f>
        <v>#REF!</v>
      </c>
      <c r="AL34" s="572" t="e">
        <f>#REF!*AM34</f>
        <v>#REF!</v>
      </c>
      <c r="AM34" s="183" t="e">
        <f>#REF!</f>
        <v>#REF!</v>
      </c>
      <c r="AN34" s="569" t="e">
        <f t="shared" si="2"/>
        <v>#REF!</v>
      </c>
      <c r="AO34" s="183" t="e">
        <f t="shared" si="3"/>
        <v>#REF!</v>
      </c>
      <c r="AP34" s="183" t="e">
        <f>#REF!</f>
        <v>#REF!</v>
      </c>
      <c r="AQ34" s="183" t="e">
        <f>#REF!</f>
        <v>#REF!</v>
      </c>
      <c r="AR34" s="183" t="e">
        <f>#REF!</f>
        <v>#REF!</v>
      </c>
      <c r="AS34" s="183" t="e">
        <f t="shared" si="4"/>
        <v>#REF!</v>
      </c>
      <c r="AT34" s="183" t="e">
        <f>#REF!</f>
        <v>#REF!</v>
      </c>
      <c r="AU34" s="183" t="e">
        <f t="shared" si="5"/>
        <v>#REF!</v>
      </c>
      <c r="AV34" s="183" t="e">
        <f>#REF!</f>
        <v>#REF!</v>
      </c>
      <c r="AW34" s="183" t="e">
        <f>#REF!</f>
        <v>#REF!</v>
      </c>
      <c r="AX34" s="183" t="e">
        <f>#REF!</f>
        <v>#REF!</v>
      </c>
      <c r="AY34" s="183" t="e">
        <f>#REF!</f>
        <v>#REF!</v>
      </c>
      <c r="AZ34" s="183" t="e">
        <f>#REF!</f>
        <v>#REF!</v>
      </c>
      <c r="BA34" s="183" t="e">
        <f>#REF!</f>
        <v>#REF!</v>
      </c>
      <c r="BB34" s="183" t="e">
        <f>#REF!</f>
        <v>#REF!</v>
      </c>
      <c r="BC34" s="183" t="e">
        <f>#REF!</f>
        <v>#REF!</v>
      </c>
      <c r="BD34" s="183" t="e">
        <f>#REF!</f>
        <v>#REF!</v>
      </c>
      <c r="BE34" s="183" t="e">
        <f>#REF!</f>
        <v>#REF!</v>
      </c>
      <c r="BF34" s="183" t="e">
        <f>#REF!+#REF!</f>
        <v>#REF!</v>
      </c>
      <c r="BG34" s="183" t="e">
        <f>#REF!</f>
        <v>#REF!</v>
      </c>
      <c r="BH34" s="183" t="e">
        <f>#REF!</f>
        <v>#REF!</v>
      </c>
      <c r="BI34" s="188" t="e">
        <f t="shared" si="6"/>
        <v>#REF!</v>
      </c>
      <c r="BJ34" s="183" t="e">
        <f>#REF!</f>
        <v>#REF!</v>
      </c>
      <c r="BK34" s="453"/>
      <c r="BL34" s="485" t="e">
        <f t="shared" si="12"/>
        <v>#REF!</v>
      </c>
      <c r="BM34" s="485" t="e">
        <f>#REF!</f>
        <v>#REF!</v>
      </c>
      <c r="BN34" s="183" t="e">
        <f>#REF!</f>
        <v>#REF!</v>
      </c>
      <c r="BO34" s="183" t="e">
        <f>#REF!</f>
        <v>#REF!</v>
      </c>
      <c r="BP34" s="485" t="e">
        <f t="shared" si="7"/>
        <v>#REF!</v>
      </c>
      <c r="BQ34" s="183" t="e">
        <f>#REF!</f>
        <v>#REF!</v>
      </c>
      <c r="BR34" s="183" t="e">
        <f>#REF!</f>
        <v>#REF!</v>
      </c>
      <c r="BS34" s="183" t="e">
        <f>#REF!+#REF!</f>
        <v>#REF!</v>
      </c>
      <c r="BT34" s="183" t="e">
        <f>#REF!</f>
        <v>#REF!</v>
      </c>
      <c r="BU34" s="207" t="e">
        <f t="shared" si="8"/>
        <v>#REF!</v>
      </c>
      <c r="BV34" s="183" t="e">
        <f>#REF!</f>
        <v>#REF!</v>
      </c>
      <c r="BW34" s="183" t="e">
        <f>#REF!</f>
        <v>#REF!</v>
      </c>
      <c r="BX34" s="183" t="e">
        <f>#REF!</f>
        <v>#REF!</v>
      </c>
      <c r="BY34" s="183" t="e">
        <f>#REF!+#REF!+#REF!</f>
        <v>#REF!</v>
      </c>
      <c r="BZ34" s="183" t="e">
        <f>#REF!</f>
        <v>#REF!</v>
      </c>
      <c r="CA34" s="183" t="e">
        <f>#REF!</f>
        <v>#REF!</v>
      </c>
      <c r="CB34" s="183" t="e">
        <f>#REF!</f>
        <v>#REF!</v>
      </c>
      <c r="CC34" s="183" t="e">
        <f>#REF!</f>
        <v>#REF!</v>
      </c>
      <c r="CD34" s="183" t="e">
        <f>#REF!</f>
        <v>#REF!</v>
      </c>
      <c r="CE34" s="485" t="e">
        <f>#REF!</f>
        <v>#REF!</v>
      </c>
      <c r="CF34" s="184" t="e">
        <f t="shared" si="9"/>
        <v>#REF!</v>
      </c>
      <c r="CG34" s="188" t="e">
        <f t="shared" si="10"/>
        <v>#REF!</v>
      </c>
      <c r="CH34" s="181"/>
      <c r="CI34" s="183" t="e">
        <f>#REF!</f>
        <v>#REF!</v>
      </c>
      <c r="CJ34" s="530" t="e">
        <f>#REF!</f>
        <v>#REF!</v>
      </c>
      <c r="CK34" s="188" t="e">
        <f t="shared" si="11"/>
        <v>#REF!</v>
      </c>
      <c r="CL34" s="183" t="e">
        <f>#REF!</f>
        <v>#REF!</v>
      </c>
      <c r="CM34" s="188" t="e">
        <f t="shared" si="13"/>
        <v>#REF!</v>
      </c>
    </row>
    <row r="35" spans="2:91" ht="15.75" hidden="1" customHeight="1">
      <c r="B35" s="3" t="b">
        <f t="shared" si="14"/>
        <v>0</v>
      </c>
      <c r="C35" s="567">
        <f>C36</f>
        <v>2024</v>
      </c>
      <c r="D35" s="1">
        <v>26</v>
      </c>
      <c r="AB35" s="567">
        <f>AB36</f>
        <v>2024</v>
      </c>
      <c r="AC35" s="444" t="s">
        <v>2352</v>
      </c>
      <c r="AD35" s="567" t="str">
        <f t="shared" si="0"/>
        <v>Факт ТСО2024</v>
      </c>
      <c r="AE35" s="571" t="e">
        <f>#REF!</f>
        <v>#REF!</v>
      </c>
      <c r="AF35" s="571" t="e">
        <f>#REF!</f>
        <v>#REF!</v>
      </c>
      <c r="AG35" s="188" t="e">
        <f t="shared" si="1"/>
        <v>#REF!</v>
      </c>
      <c r="AH35" s="183" t="e">
        <f>#REF!</f>
        <v>#REF!</v>
      </c>
      <c r="AI35" s="183" t="e">
        <f>#REF!</f>
        <v>#REF!</v>
      </c>
      <c r="AJ35" s="183" t="e">
        <f>#REF!</f>
        <v>#REF!</v>
      </c>
      <c r="AK35" s="183" t="e">
        <f>#REF!</f>
        <v>#REF!</v>
      </c>
      <c r="AL35" s="572" t="e">
        <f>#REF!*AM35</f>
        <v>#REF!</v>
      </c>
      <c r="AM35" s="183" t="e">
        <f>#REF!</f>
        <v>#REF!</v>
      </c>
      <c r="AN35" s="569" t="e">
        <f t="shared" si="2"/>
        <v>#REF!</v>
      </c>
      <c r="AO35" s="183" t="e">
        <f t="shared" si="3"/>
        <v>#REF!</v>
      </c>
      <c r="AP35" s="183" t="e">
        <f>#REF!</f>
        <v>#REF!</v>
      </c>
      <c r="AQ35" s="183" t="e">
        <f>#REF!</f>
        <v>#REF!</v>
      </c>
      <c r="AR35" s="183" t="e">
        <f>#REF!</f>
        <v>#REF!</v>
      </c>
      <c r="AS35" s="183" t="e">
        <f t="shared" si="4"/>
        <v>#REF!</v>
      </c>
      <c r="AT35" s="183" t="e">
        <f>#REF!</f>
        <v>#REF!</v>
      </c>
      <c r="AU35" s="183" t="e">
        <f t="shared" si="5"/>
        <v>#REF!</v>
      </c>
      <c r="AV35" s="183" t="e">
        <f>#REF!</f>
        <v>#REF!</v>
      </c>
      <c r="AW35" s="183" t="e">
        <f>#REF!</f>
        <v>#REF!</v>
      </c>
      <c r="AX35" s="183" t="e">
        <f>#REF!</f>
        <v>#REF!</v>
      </c>
      <c r="AY35" s="183" t="e">
        <f>#REF!</f>
        <v>#REF!</v>
      </c>
      <c r="AZ35" s="183" t="e">
        <f>#REF!</f>
        <v>#REF!</v>
      </c>
      <c r="BA35" s="183" t="e">
        <f>#REF!</f>
        <v>#REF!</v>
      </c>
      <c r="BB35" s="183" t="e">
        <f>#REF!</f>
        <v>#REF!</v>
      </c>
      <c r="BC35" s="183" t="e">
        <f>#REF!</f>
        <v>#REF!</v>
      </c>
      <c r="BD35" s="183" t="e">
        <f>#REF!</f>
        <v>#REF!</v>
      </c>
      <c r="BE35" s="183" t="e">
        <f>#REF!</f>
        <v>#REF!</v>
      </c>
      <c r="BF35" s="183" t="e">
        <f>#REF!+#REF!</f>
        <v>#REF!</v>
      </c>
      <c r="BG35" s="183" t="e">
        <f>#REF!</f>
        <v>#REF!</v>
      </c>
      <c r="BH35" s="183" t="e">
        <f>#REF!</f>
        <v>#REF!</v>
      </c>
      <c r="BI35" s="188" t="e">
        <f t="shared" si="6"/>
        <v>#REF!</v>
      </c>
      <c r="BJ35" s="183" t="e">
        <f>#REF!</f>
        <v>#REF!</v>
      </c>
      <c r="BK35" s="181" t="e">
        <f>#REF!/2</f>
        <v>#REF!</v>
      </c>
      <c r="BL35" s="183" t="e">
        <f t="shared" si="12"/>
        <v>#REF!</v>
      </c>
      <c r="BM35" s="485" t="e">
        <f>#REF!</f>
        <v>#REF!</v>
      </c>
      <c r="BN35" s="183" t="e">
        <f>#REF!</f>
        <v>#REF!</v>
      </c>
      <c r="BO35" s="183" t="e">
        <f>#REF!</f>
        <v>#REF!</v>
      </c>
      <c r="BP35" s="485" t="e">
        <f t="shared" si="7"/>
        <v>#REF!</v>
      </c>
      <c r="BQ35" s="183" t="e">
        <f>#REF!</f>
        <v>#REF!</v>
      </c>
      <c r="BR35" s="183" t="e">
        <f>#REF!</f>
        <v>#REF!</v>
      </c>
      <c r="BS35" s="183" t="e">
        <f>#REF!+#REF!</f>
        <v>#REF!</v>
      </c>
      <c r="BT35" s="183" t="e">
        <f>#REF!</f>
        <v>#REF!</v>
      </c>
      <c r="BU35" s="207" t="e">
        <f t="shared" si="8"/>
        <v>#REF!</v>
      </c>
      <c r="BV35" s="183" t="e">
        <f>#REF!</f>
        <v>#REF!</v>
      </c>
      <c r="BW35" s="183" t="e">
        <f>#REF!</f>
        <v>#REF!</v>
      </c>
      <c r="BX35" s="183" t="e">
        <f>#REF!</f>
        <v>#REF!</v>
      </c>
      <c r="BY35" s="183" t="e">
        <f>#REF!+#REF!+#REF!</f>
        <v>#REF!</v>
      </c>
      <c r="BZ35" s="183" t="e">
        <f>#REF!</f>
        <v>#REF!</v>
      </c>
      <c r="CA35" s="183" t="e">
        <f>#REF!</f>
        <v>#REF!</v>
      </c>
      <c r="CB35" s="183" t="e">
        <f>#REF!</f>
        <v>#REF!</v>
      </c>
      <c r="CC35" s="183" t="e">
        <f>#REF!</f>
        <v>#REF!</v>
      </c>
      <c r="CD35" s="183" t="e">
        <f>#REF!</f>
        <v>#REF!</v>
      </c>
      <c r="CE35" s="485" t="e">
        <f>#REF!</f>
        <v>#REF!</v>
      </c>
      <c r="CF35" s="184" t="e">
        <f t="shared" si="9"/>
        <v>#REF!</v>
      </c>
      <c r="CG35" s="188" t="e">
        <f t="shared" si="10"/>
        <v>#REF!</v>
      </c>
      <c r="CH35" s="181"/>
      <c r="CI35" s="183" t="e">
        <f>#REF!</f>
        <v>#REF!</v>
      </c>
      <c r="CJ35" s="530" t="e">
        <f>#REF!</f>
        <v>#REF!</v>
      </c>
      <c r="CK35" s="188" t="e">
        <f t="shared" si="11"/>
        <v>#REF!</v>
      </c>
      <c r="CL35" s="183" t="e">
        <f>#REF!</f>
        <v>#REF!</v>
      </c>
      <c r="CM35" s="188" t="e">
        <f t="shared" si="13"/>
        <v>#REF!</v>
      </c>
    </row>
    <row r="36" spans="2:91" ht="23.25" hidden="1" customHeight="1">
      <c r="B36" s="3" t="b">
        <f t="shared" si="14"/>
        <v>0</v>
      </c>
      <c r="C36" s="567">
        <f>C37-1</f>
        <v>2024</v>
      </c>
      <c r="D36" s="1">
        <v>37</v>
      </c>
      <c r="AB36" s="567">
        <f>AB37-1</f>
        <v>2024</v>
      </c>
      <c r="AC36" s="444" t="s">
        <v>2354</v>
      </c>
      <c r="AD36" s="567" t="str">
        <f t="shared" si="0"/>
        <v>Факт, признанный РЭК2024</v>
      </c>
      <c r="AE36" s="571" t="e">
        <f>#REF!</f>
        <v>#REF!</v>
      </c>
      <c r="AF36" s="571" t="e">
        <f>#REF!</f>
        <v>#REF!</v>
      </c>
      <c r="AG36" s="188" t="e">
        <f t="shared" si="1"/>
        <v>#REF!</v>
      </c>
      <c r="AH36" s="183" t="e">
        <f>#REF!</f>
        <v>#REF!</v>
      </c>
      <c r="AI36" s="183" t="e">
        <f>#REF!</f>
        <v>#REF!</v>
      </c>
      <c r="AJ36" s="183" t="e">
        <f>#REF!</f>
        <v>#REF!</v>
      </c>
      <c r="AK36" s="183" t="e">
        <f>#REF!</f>
        <v>#REF!</v>
      </c>
      <c r="AL36" s="572" t="e">
        <f>#REF!*AM36</f>
        <v>#REF!</v>
      </c>
      <c r="AM36" s="183" t="e">
        <f>#REF!</f>
        <v>#REF!</v>
      </c>
      <c r="AN36" s="569" t="e">
        <f t="shared" si="2"/>
        <v>#REF!</v>
      </c>
      <c r="AO36" s="183" t="e">
        <f t="shared" si="3"/>
        <v>#REF!</v>
      </c>
      <c r="AP36" s="183" t="e">
        <f>#REF!</f>
        <v>#REF!</v>
      </c>
      <c r="AQ36" s="183" t="e">
        <f>#REF!</f>
        <v>#REF!</v>
      </c>
      <c r="AR36" s="183" t="e">
        <f>#REF!</f>
        <v>#REF!</v>
      </c>
      <c r="AS36" s="183" t="e">
        <f t="shared" si="4"/>
        <v>#REF!</v>
      </c>
      <c r="AT36" s="183" t="e">
        <f>#REF!</f>
        <v>#REF!</v>
      </c>
      <c r="AU36" s="183" t="e">
        <f t="shared" si="5"/>
        <v>#REF!</v>
      </c>
      <c r="AV36" s="183" t="e">
        <f>#REF!</f>
        <v>#REF!</v>
      </c>
      <c r="AW36" s="183" t="e">
        <f>#REF!</f>
        <v>#REF!</v>
      </c>
      <c r="AX36" s="183" t="e">
        <f>#REF!</f>
        <v>#REF!</v>
      </c>
      <c r="AY36" s="183" t="e">
        <f>#REF!</f>
        <v>#REF!</v>
      </c>
      <c r="AZ36" s="183" t="e">
        <f>#REF!</f>
        <v>#REF!</v>
      </c>
      <c r="BA36" s="183" t="e">
        <f>#REF!</f>
        <v>#REF!</v>
      </c>
      <c r="BB36" s="183" t="e">
        <f>#REF!</f>
        <v>#REF!</v>
      </c>
      <c r="BC36" s="183" t="e">
        <f>#REF!</f>
        <v>#REF!</v>
      </c>
      <c r="BD36" s="183" t="e">
        <f>#REF!</f>
        <v>#REF!</v>
      </c>
      <c r="BE36" s="183" t="e">
        <f>#REF!</f>
        <v>#REF!</v>
      </c>
      <c r="BF36" s="183" t="e">
        <f>#REF!+#REF!</f>
        <v>#REF!</v>
      </c>
      <c r="BG36" s="183" t="e">
        <f>#REF!</f>
        <v>#REF!</v>
      </c>
      <c r="BH36" s="183" t="e">
        <f>#REF!</f>
        <v>#REF!</v>
      </c>
      <c r="BI36" s="188" t="e">
        <f t="shared" si="6"/>
        <v>#REF!</v>
      </c>
      <c r="BJ36" s="183" t="e">
        <f>#REF!</f>
        <v>#REF!</v>
      </c>
      <c r="BK36" s="181" t="e">
        <f>#REF!/2</f>
        <v>#REF!</v>
      </c>
      <c r="BL36" s="183" t="e">
        <f t="shared" si="12"/>
        <v>#REF!</v>
      </c>
      <c r="BM36" s="485" t="e">
        <f>#REF!</f>
        <v>#REF!</v>
      </c>
      <c r="BN36" s="183" t="e">
        <f>#REF!</f>
        <v>#REF!</v>
      </c>
      <c r="BO36" s="183" t="e">
        <f>#REF!</f>
        <v>#REF!</v>
      </c>
      <c r="BP36" s="485" t="e">
        <f t="shared" si="7"/>
        <v>#REF!</v>
      </c>
      <c r="BQ36" s="183" t="e">
        <f>#REF!</f>
        <v>#REF!</v>
      </c>
      <c r="BR36" s="183" t="e">
        <f>#REF!</f>
        <v>#REF!</v>
      </c>
      <c r="BS36" s="183" t="e">
        <f>#REF!+#REF!</f>
        <v>#REF!</v>
      </c>
      <c r="BT36" s="183" t="e">
        <f>#REF!</f>
        <v>#REF!</v>
      </c>
      <c r="BU36" s="207" t="e">
        <f t="shared" si="8"/>
        <v>#REF!</v>
      </c>
      <c r="BV36" s="183" t="e">
        <f>#REF!</f>
        <v>#REF!</v>
      </c>
      <c r="BW36" s="183" t="e">
        <f>#REF!</f>
        <v>#REF!</v>
      </c>
      <c r="BX36" s="183" t="e">
        <f>#REF!</f>
        <v>#REF!</v>
      </c>
      <c r="BY36" s="183" t="e">
        <f>#REF!+#REF!+#REF!</f>
        <v>#REF!</v>
      </c>
      <c r="BZ36" s="183" t="e">
        <f>#REF!</f>
        <v>#REF!</v>
      </c>
      <c r="CA36" s="183" t="e">
        <f>#REF!</f>
        <v>#REF!</v>
      </c>
      <c r="CB36" s="183" t="e">
        <f>#REF!</f>
        <v>#REF!</v>
      </c>
      <c r="CC36" s="183" t="e">
        <f>#REF!</f>
        <v>#REF!</v>
      </c>
      <c r="CD36" s="183" t="e">
        <f>#REF!</f>
        <v>#REF!</v>
      </c>
      <c r="CE36" s="485" t="e">
        <f>#REF!</f>
        <v>#REF!</v>
      </c>
      <c r="CF36" s="184" t="e">
        <f t="shared" si="9"/>
        <v>#REF!</v>
      </c>
      <c r="CG36" s="188" t="e">
        <f t="shared" si="10"/>
        <v>#REF!</v>
      </c>
      <c r="CH36" s="181"/>
      <c r="CI36" s="183" t="e">
        <f>#REF!</f>
        <v>#REF!</v>
      </c>
      <c r="CJ36" s="530" t="e">
        <f>#REF!</f>
        <v>#REF!</v>
      </c>
      <c r="CK36" s="188" t="e">
        <f t="shared" si="11"/>
        <v>#REF!</v>
      </c>
      <c r="CL36" s="183" t="e">
        <f>#REF!</f>
        <v>#REF!</v>
      </c>
      <c r="CM36" s="188" t="e">
        <f t="shared" si="13"/>
        <v>#REF!</v>
      </c>
    </row>
    <row r="37" spans="2:91" ht="15.75" hidden="1" customHeight="1">
      <c r="B37" s="3" t="b">
        <f t="shared" si="14"/>
        <v>0</v>
      </c>
      <c r="C37" s="567">
        <f>C38-1</f>
        <v>2025</v>
      </c>
      <c r="D37" s="1">
        <v>26</v>
      </c>
      <c r="AB37" s="567">
        <f>AB38-1</f>
        <v>2025</v>
      </c>
      <c r="AC37" s="444" t="s">
        <v>752</v>
      </c>
      <c r="AD37" s="567" t="str">
        <f t="shared" si="0"/>
        <v>План2025</v>
      </c>
      <c r="AE37" s="571" t="e">
        <f>#REF!</f>
        <v>#REF!</v>
      </c>
      <c r="AF37" s="571" t="e">
        <f>#REF!</f>
        <v>#REF!</v>
      </c>
      <c r="AG37" s="188" t="e">
        <f t="shared" si="1"/>
        <v>#REF!</v>
      </c>
      <c r="AH37" s="183" t="e">
        <f>#REF!</f>
        <v>#REF!</v>
      </c>
      <c r="AI37" s="183" t="e">
        <f>#REF!</f>
        <v>#REF!</v>
      </c>
      <c r="AJ37" s="183" t="e">
        <f>#REF!</f>
        <v>#REF!</v>
      </c>
      <c r="AK37" s="183" t="e">
        <f>#REF!</f>
        <v>#REF!</v>
      </c>
      <c r="AL37" s="572" t="e">
        <f>#REF!*AM37</f>
        <v>#REF!</v>
      </c>
      <c r="AM37" s="183" t="e">
        <f>#REF!</f>
        <v>#REF!</v>
      </c>
      <c r="AN37" s="569" t="e">
        <f t="shared" si="2"/>
        <v>#REF!</v>
      </c>
      <c r="AO37" s="183" t="e">
        <f t="shared" si="3"/>
        <v>#REF!</v>
      </c>
      <c r="AP37" s="183" t="e">
        <f>#REF!</f>
        <v>#REF!</v>
      </c>
      <c r="AQ37" s="183" t="e">
        <f>#REF!</f>
        <v>#REF!</v>
      </c>
      <c r="AR37" s="183" t="e">
        <f>#REF!</f>
        <v>#REF!</v>
      </c>
      <c r="AS37" s="183" t="e">
        <f t="shared" si="4"/>
        <v>#REF!</v>
      </c>
      <c r="AT37" s="183" t="e">
        <f>#REF!</f>
        <v>#REF!</v>
      </c>
      <c r="AU37" s="183" t="e">
        <f t="shared" si="5"/>
        <v>#REF!</v>
      </c>
      <c r="AV37" s="183" t="e">
        <f>#REF!</f>
        <v>#REF!</v>
      </c>
      <c r="AW37" s="183" t="e">
        <f>#REF!</f>
        <v>#REF!</v>
      </c>
      <c r="AX37" s="183" t="e">
        <f>#REF!</f>
        <v>#REF!</v>
      </c>
      <c r="AY37" s="183" t="e">
        <f>#REF!</f>
        <v>#REF!</v>
      </c>
      <c r="AZ37" s="183" t="e">
        <f>#REF!</f>
        <v>#REF!</v>
      </c>
      <c r="BA37" s="183" t="e">
        <f>#REF!</f>
        <v>#REF!</v>
      </c>
      <c r="BB37" s="183" t="e">
        <f>#REF!</f>
        <v>#REF!</v>
      </c>
      <c r="BC37" s="183" t="e">
        <f>#REF!</f>
        <v>#REF!</v>
      </c>
      <c r="BD37" s="183" t="e">
        <f>#REF!</f>
        <v>#REF!</v>
      </c>
      <c r="BE37" s="183" t="e">
        <f>#REF!</f>
        <v>#REF!</v>
      </c>
      <c r="BF37" s="183" t="e">
        <f>#REF!+#REF!</f>
        <v>#REF!</v>
      </c>
      <c r="BG37" s="183" t="e">
        <f>#REF!</f>
        <v>#REF!</v>
      </c>
      <c r="BH37" s="183" t="e">
        <f>#REF!</f>
        <v>#REF!</v>
      </c>
      <c r="BI37" s="188" t="e">
        <f t="shared" si="6"/>
        <v>#REF!</v>
      </c>
      <c r="BJ37" s="183" t="e">
        <f>#REF!</f>
        <v>#REF!</v>
      </c>
      <c r="BK37" s="181"/>
      <c r="BL37" s="183" t="e">
        <f t="shared" si="12"/>
        <v>#REF!</v>
      </c>
      <c r="BM37" s="485" t="e">
        <f>#REF!</f>
        <v>#REF!</v>
      </c>
      <c r="BN37" s="183" t="e">
        <f>#REF!</f>
        <v>#REF!</v>
      </c>
      <c r="BO37" s="183" t="e">
        <f>#REF!</f>
        <v>#REF!</v>
      </c>
      <c r="BP37" s="485" t="e">
        <f t="shared" si="7"/>
        <v>#REF!</v>
      </c>
      <c r="BQ37" s="183" t="e">
        <f>#REF!</f>
        <v>#REF!</v>
      </c>
      <c r="BR37" s="183" t="e">
        <f>#REF!</f>
        <v>#REF!</v>
      </c>
      <c r="BS37" s="183" t="e">
        <f>#REF!+#REF!</f>
        <v>#REF!</v>
      </c>
      <c r="BT37" s="183" t="e">
        <f>#REF!</f>
        <v>#REF!</v>
      </c>
      <c r="BU37" s="207" t="e">
        <f t="shared" si="8"/>
        <v>#REF!</v>
      </c>
      <c r="BV37" s="183" t="e">
        <f>#REF!</f>
        <v>#REF!</v>
      </c>
      <c r="BW37" s="183" t="e">
        <f>#REF!</f>
        <v>#REF!</v>
      </c>
      <c r="BX37" s="183" t="e">
        <f>#REF!</f>
        <v>#REF!</v>
      </c>
      <c r="BY37" s="183" t="e">
        <f>#REF!+#REF!+#REF!</f>
        <v>#REF!</v>
      </c>
      <c r="BZ37" s="183" t="e">
        <f>#REF!</f>
        <v>#REF!</v>
      </c>
      <c r="CA37" s="183" t="e">
        <f>#REF!</f>
        <v>#REF!</v>
      </c>
      <c r="CB37" s="183" t="e">
        <f>#REF!</f>
        <v>#REF!</v>
      </c>
      <c r="CC37" s="183" t="e">
        <f>#REF!</f>
        <v>#REF!</v>
      </c>
      <c r="CD37" s="183" t="e">
        <f>#REF!</f>
        <v>#REF!</v>
      </c>
      <c r="CE37" s="485" t="e">
        <f>#REF!</f>
        <v>#REF!</v>
      </c>
      <c r="CF37" s="184" t="e">
        <f t="shared" si="9"/>
        <v>#REF!</v>
      </c>
      <c r="CG37" s="188" t="e">
        <f t="shared" si="10"/>
        <v>#REF!</v>
      </c>
      <c r="CH37" s="181"/>
      <c r="CI37" s="183" t="e">
        <f>#REF!</f>
        <v>#REF!</v>
      </c>
      <c r="CJ37" s="530" t="e">
        <f>#REF!</f>
        <v>#REF!</v>
      </c>
      <c r="CK37" s="188" t="e">
        <f t="shared" si="11"/>
        <v>#REF!</v>
      </c>
      <c r="CL37" s="183" t="e">
        <f>#REF!</f>
        <v>#REF!</v>
      </c>
      <c r="CM37" s="188" t="e">
        <f t="shared" si="13"/>
        <v>#REF!</v>
      </c>
    </row>
    <row r="38" spans="2:91" ht="15.75" hidden="1" customHeight="1">
      <c r="B38" s="3" t="b">
        <f t="shared" si="14"/>
        <v>0</v>
      </c>
      <c r="C38" s="567">
        <f>PRD</f>
        <v>2026</v>
      </c>
      <c r="D38" s="1">
        <v>26</v>
      </c>
      <c r="AB38" s="567">
        <f>PRD</f>
        <v>2026</v>
      </c>
      <c r="AC38" s="444" t="s">
        <v>752</v>
      </c>
      <c r="AD38" s="567" t="str">
        <f t="shared" si="0"/>
        <v>План2026</v>
      </c>
      <c r="AE38" s="571" t="e">
        <f>#REF!</f>
        <v>#REF!</v>
      </c>
      <c r="AF38" s="571" t="e">
        <f>#REF!</f>
        <v>#REF!</v>
      </c>
      <c r="AG38" s="188" t="e">
        <f t="shared" si="1"/>
        <v>#REF!</v>
      </c>
      <c r="AH38" s="183" t="e">
        <f>#REF!</f>
        <v>#REF!</v>
      </c>
      <c r="AI38" s="183" t="e">
        <f>#REF!</f>
        <v>#REF!</v>
      </c>
      <c r="AJ38" s="183" t="e">
        <f>#REF!</f>
        <v>#REF!</v>
      </c>
      <c r="AK38" s="183" t="e">
        <f>#REF!</f>
        <v>#REF!</v>
      </c>
      <c r="AL38" s="572" t="e">
        <f>#REF!*AM38</f>
        <v>#REF!</v>
      </c>
      <c r="AM38" s="183" t="e">
        <f>#REF!</f>
        <v>#REF!</v>
      </c>
      <c r="AN38" s="569" t="e">
        <f t="shared" si="2"/>
        <v>#REF!</v>
      </c>
      <c r="AO38" s="183" t="e">
        <f t="shared" si="3"/>
        <v>#REF!</v>
      </c>
      <c r="AP38" s="183" t="e">
        <f>#REF!</f>
        <v>#REF!</v>
      </c>
      <c r="AQ38" s="183" t="e">
        <f>#REF!</f>
        <v>#REF!</v>
      </c>
      <c r="AR38" s="183" t="e">
        <f>#REF!</f>
        <v>#REF!</v>
      </c>
      <c r="AS38" s="183" t="e">
        <f t="shared" si="4"/>
        <v>#REF!</v>
      </c>
      <c r="AT38" s="183" t="e">
        <f>#REF!</f>
        <v>#REF!</v>
      </c>
      <c r="AU38" s="183" t="e">
        <f t="shared" si="5"/>
        <v>#REF!</v>
      </c>
      <c r="AV38" s="183" t="e">
        <f>#REF!</f>
        <v>#REF!</v>
      </c>
      <c r="AW38" s="183" t="e">
        <f>#REF!</f>
        <v>#REF!</v>
      </c>
      <c r="AX38" s="183" t="e">
        <f>#REF!</f>
        <v>#REF!</v>
      </c>
      <c r="AY38" s="183" t="e">
        <f>#REF!</f>
        <v>#REF!</v>
      </c>
      <c r="AZ38" s="183" t="e">
        <f>#REF!</f>
        <v>#REF!</v>
      </c>
      <c r="BA38" s="183" t="e">
        <f>#REF!</f>
        <v>#REF!</v>
      </c>
      <c r="BB38" s="183" t="e">
        <f>#REF!</f>
        <v>#REF!</v>
      </c>
      <c r="BC38" s="183" t="e">
        <f>#REF!</f>
        <v>#REF!</v>
      </c>
      <c r="BD38" s="183" t="e">
        <f>#REF!</f>
        <v>#REF!</v>
      </c>
      <c r="BE38" s="183" t="e">
        <f>#REF!</f>
        <v>#REF!</v>
      </c>
      <c r="BF38" s="183" t="e">
        <f>#REF!+#REF!</f>
        <v>#REF!</v>
      </c>
      <c r="BG38" s="183" t="e">
        <f>#REF!</f>
        <v>#REF!</v>
      </c>
      <c r="BH38" s="183" t="e">
        <f>#REF!</f>
        <v>#REF!</v>
      </c>
      <c r="BI38" s="188" t="e">
        <f t="shared" si="6"/>
        <v>#REF!</v>
      </c>
      <c r="BJ38" s="183" t="e">
        <f>#REF!</f>
        <v>#REF!</v>
      </c>
      <c r="BK38" s="181"/>
      <c r="BL38" s="183" t="e">
        <f t="shared" si="12"/>
        <v>#REF!</v>
      </c>
      <c r="BM38" s="485" t="e">
        <f>#REF!</f>
        <v>#REF!</v>
      </c>
      <c r="BN38" s="183" t="e">
        <f>#REF!</f>
        <v>#REF!</v>
      </c>
      <c r="BO38" s="183" t="e">
        <f>#REF!</f>
        <v>#REF!</v>
      </c>
      <c r="BP38" s="485" t="e">
        <f t="shared" si="7"/>
        <v>#REF!</v>
      </c>
      <c r="BQ38" s="183" t="e">
        <f>#REF!</f>
        <v>#REF!</v>
      </c>
      <c r="BR38" s="183" t="e">
        <f>#REF!</f>
        <v>#REF!</v>
      </c>
      <c r="BS38" s="183" t="e">
        <f>#REF!+#REF!</f>
        <v>#REF!</v>
      </c>
      <c r="BT38" s="183" t="e">
        <f>#REF!</f>
        <v>#REF!</v>
      </c>
      <c r="BU38" s="207" t="e">
        <f t="shared" si="8"/>
        <v>#REF!</v>
      </c>
      <c r="BV38" s="183" t="e">
        <f>#REF!</f>
        <v>#REF!</v>
      </c>
      <c r="BW38" s="183" t="e">
        <f>#REF!</f>
        <v>#REF!</v>
      </c>
      <c r="BX38" s="183" t="e">
        <f>#REF!</f>
        <v>#REF!</v>
      </c>
      <c r="BY38" s="183" t="e">
        <f>#REF!+#REF!+#REF!</f>
        <v>#REF!</v>
      </c>
      <c r="BZ38" s="183" t="e">
        <f>#REF!</f>
        <v>#REF!</v>
      </c>
      <c r="CA38" s="183" t="e">
        <f>#REF!</f>
        <v>#REF!</v>
      </c>
      <c r="CB38" s="183" t="e">
        <f>#REF!</f>
        <v>#REF!</v>
      </c>
      <c r="CC38" s="183" t="e">
        <f>#REF!</f>
        <v>#REF!</v>
      </c>
      <c r="CD38" s="183" t="e">
        <f>#REF!</f>
        <v>#REF!</v>
      </c>
      <c r="CE38" s="485" t="e">
        <f>#REF!</f>
        <v>#REF!</v>
      </c>
      <c r="CF38" s="184" t="e">
        <f t="shared" si="9"/>
        <v>#REF!</v>
      </c>
      <c r="CG38" s="188" t="e">
        <f t="shared" si="10"/>
        <v>#REF!</v>
      </c>
      <c r="CH38" s="181"/>
      <c r="CI38" s="183" t="e">
        <f>#REF!</f>
        <v>#REF!</v>
      </c>
      <c r="CJ38" s="530" t="e">
        <f>#REF!</f>
        <v>#REF!</v>
      </c>
      <c r="CK38" s="188" t="e">
        <f t="shared" si="11"/>
        <v>#REF!</v>
      </c>
      <c r="CL38" s="183" t="e">
        <f>#REF!</f>
        <v>#REF!</v>
      </c>
      <c r="CM38" s="188" t="e">
        <f t="shared" si="13"/>
        <v>#REF!</v>
      </c>
    </row>
    <row r="39" spans="2:91" ht="15.75" hidden="1" customHeight="1">
      <c r="B39" s="3" t="b">
        <f t="shared" si="14"/>
        <v>0</v>
      </c>
      <c r="C39" s="567">
        <f>C38+1</f>
        <v>2027</v>
      </c>
      <c r="D39" s="1">
        <v>26</v>
      </c>
      <c r="AB39" s="567">
        <f>AB38+1</f>
        <v>2027</v>
      </c>
      <c r="AC39" s="444" t="s">
        <v>752</v>
      </c>
      <c r="AD39" s="567" t="str">
        <f t="shared" si="0"/>
        <v>План2027</v>
      </c>
      <c r="AE39" s="571" t="e">
        <f>#REF!</f>
        <v>#REF!</v>
      </c>
      <c r="AF39" s="571" t="e">
        <f>#REF!</f>
        <v>#REF!</v>
      </c>
      <c r="AG39" s="188" t="e">
        <f t="shared" si="1"/>
        <v>#REF!</v>
      </c>
      <c r="AH39" s="183" t="e">
        <f t="shared" ref="AH39:AK42" si="15">AH38</f>
        <v>#REF!</v>
      </c>
      <c r="AI39" s="183" t="e">
        <f t="shared" si="15"/>
        <v>#REF!</v>
      </c>
      <c r="AJ39" s="183" t="e">
        <f t="shared" si="15"/>
        <v>#REF!</v>
      </c>
      <c r="AK39" s="183" t="e">
        <f t="shared" si="15"/>
        <v>#REF!</v>
      </c>
      <c r="AL39" s="572" t="e">
        <f>#REF!*AM39</f>
        <v>#REF!</v>
      </c>
      <c r="AM39" s="183" t="e">
        <f>#REF!</f>
        <v>#REF!</v>
      </c>
      <c r="AN39" s="569" t="e">
        <f t="shared" si="2"/>
        <v>#REF!</v>
      </c>
      <c r="AO39" s="183" t="e">
        <f t="shared" si="3"/>
        <v>#REF!</v>
      </c>
      <c r="AP39" s="183" t="e">
        <f t="shared" ref="AP39:AR42" si="16">AP38*$AN39</f>
        <v>#REF!</v>
      </c>
      <c r="AQ39" s="183" t="e">
        <f t="shared" si="16"/>
        <v>#REF!</v>
      </c>
      <c r="AR39" s="183" t="e">
        <f t="shared" si="16"/>
        <v>#REF!</v>
      </c>
      <c r="AS39" s="183" t="e">
        <f t="shared" si="4"/>
        <v>#REF!</v>
      </c>
      <c r="AT39" s="183" t="e">
        <f>AT38*$AN39</f>
        <v>#REF!</v>
      </c>
      <c r="AU39" s="183" t="e">
        <f t="shared" si="5"/>
        <v>#REF!</v>
      </c>
      <c r="AV39" s="183" t="e">
        <f t="shared" ref="AV39:BH42" si="17">AV38*$AN39</f>
        <v>#REF!</v>
      </c>
      <c r="AW39" s="183" t="e">
        <f t="shared" si="17"/>
        <v>#REF!</v>
      </c>
      <c r="AX39" s="183" t="e">
        <f t="shared" si="17"/>
        <v>#REF!</v>
      </c>
      <c r="AY39" s="183" t="e">
        <f t="shared" si="17"/>
        <v>#REF!</v>
      </c>
      <c r="AZ39" s="183" t="e">
        <f t="shared" si="17"/>
        <v>#REF!</v>
      </c>
      <c r="BA39" s="183" t="e">
        <f t="shared" si="17"/>
        <v>#REF!</v>
      </c>
      <c r="BB39" s="183" t="e">
        <f t="shared" si="17"/>
        <v>#REF!</v>
      </c>
      <c r="BC39" s="183" t="e">
        <f t="shared" si="17"/>
        <v>#REF!</v>
      </c>
      <c r="BD39" s="183" t="e">
        <f t="shared" si="17"/>
        <v>#REF!</v>
      </c>
      <c r="BE39" s="183" t="e">
        <f t="shared" si="17"/>
        <v>#REF!</v>
      </c>
      <c r="BF39" s="183" t="e">
        <f t="shared" si="17"/>
        <v>#REF!</v>
      </c>
      <c r="BG39" s="183" t="e">
        <f t="shared" si="17"/>
        <v>#REF!</v>
      </c>
      <c r="BH39" s="183" t="e">
        <f t="shared" si="17"/>
        <v>#REF!</v>
      </c>
      <c r="BI39" s="188" t="e">
        <f t="shared" si="6"/>
        <v>#REF!</v>
      </c>
      <c r="BJ39" s="183" t="e">
        <f>#REF!</f>
        <v>#REF!</v>
      </c>
      <c r="BK39" s="181"/>
      <c r="BL39" s="183" t="e">
        <f t="shared" si="12"/>
        <v>#REF!</v>
      </c>
      <c r="BM39" s="485" t="e">
        <f>#REF!</f>
        <v>#REF!</v>
      </c>
      <c r="BN39" s="183" t="e">
        <f>#REF!</f>
        <v>#REF!</v>
      </c>
      <c r="BO39" s="183" t="e">
        <f>#REF!</f>
        <v>#REF!</v>
      </c>
      <c r="BP39" s="485" t="e">
        <f t="shared" si="7"/>
        <v>#REF!</v>
      </c>
      <c r="BQ39" s="183" t="e">
        <f>#REF!</f>
        <v>#REF!</v>
      </c>
      <c r="BR39" s="183" t="e">
        <f>#REF!</f>
        <v>#REF!</v>
      </c>
      <c r="BS39" s="183" t="e">
        <f>#REF!+#REF!</f>
        <v>#REF!</v>
      </c>
      <c r="BT39" s="183" t="e">
        <f>#REF!</f>
        <v>#REF!</v>
      </c>
      <c r="BU39" s="207" t="e">
        <f t="shared" si="8"/>
        <v>#REF!</v>
      </c>
      <c r="BV39" s="183" t="e">
        <f>#REF!</f>
        <v>#REF!</v>
      </c>
      <c r="BW39" s="183" t="e">
        <f>#REF!</f>
        <v>#REF!</v>
      </c>
      <c r="BX39" s="183" t="e">
        <f>#REF!</f>
        <v>#REF!</v>
      </c>
      <c r="BY39" s="183" t="e">
        <f>#REF!+#REF!+#REF!</f>
        <v>#REF!</v>
      </c>
      <c r="BZ39" s="183" t="e">
        <f>#REF!</f>
        <v>#REF!</v>
      </c>
      <c r="CA39" s="183" t="e">
        <f>#REF!</f>
        <v>#REF!</v>
      </c>
      <c r="CB39" s="183" t="e">
        <f>#REF!</f>
        <v>#REF!</v>
      </c>
      <c r="CC39" s="183" t="e">
        <f>#REF!</f>
        <v>#REF!</v>
      </c>
      <c r="CD39" s="183" t="e">
        <f>#REF!</f>
        <v>#REF!</v>
      </c>
      <c r="CE39" s="485" t="e">
        <f>#REF!</f>
        <v>#REF!</v>
      </c>
      <c r="CF39" s="184" t="e">
        <f t="shared" si="9"/>
        <v>#REF!</v>
      </c>
      <c r="CG39" s="188" t="e">
        <f t="shared" si="10"/>
        <v>#REF!</v>
      </c>
      <c r="CH39" s="181"/>
      <c r="CI39" s="183" t="e">
        <f>#REF!</f>
        <v>#REF!</v>
      </c>
      <c r="CJ39" s="530" t="e">
        <f>#REF!</f>
        <v>#REF!</v>
      </c>
      <c r="CK39" s="188" t="e">
        <f t="shared" si="11"/>
        <v>#REF!</v>
      </c>
      <c r="CL39" s="183" t="e">
        <f>#REF!</f>
        <v>#REF!</v>
      </c>
      <c r="CM39" s="188" t="e">
        <f t="shared" si="13"/>
        <v>#REF!</v>
      </c>
    </row>
    <row r="40" spans="2:91" ht="15.75" hidden="1" customHeight="1">
      <c r="B40" s="3" t="b">
        <f t="shared" si="14"/>
        <v>0</v>
      </c>
      <c r="C40" s="567">
        <f>C39+1</f>
        <v>2028</v>
      </c>
      <c r="D40" s="1">
        <v>26</v>
      </c>
      <c r="AB40" s="567">
        <f>AB39+1</f>
        <v>2028</v>
      </c>
      <c r="AC40" s="444" t="s">
        <v>752</v>
      </c>
      <c r="AD40" s="567" t="str">
        <f t="shared" si="0"/>
        <v>План2028</v>
      </c>
      <c r="AE40" s="571" t="e">
        <f>#REF!</f>
        <v>#REF!</v>
      </c>
      <c r="AF40" s="571" t="e">
        <f>#REF!</f>
        <v>#REF!</v>
      </c>
      <c r="AG40" s="188" t="e">
        <f t="shared" si="1"/>
        <v>#REF!</v>
      </c>
      <c r="AH40" s="183" t="e">
        <f t="shared" si="15"/>
        <v>#REF!</v>
      </c>
      <c r="AI40" s="183" t="e">
        <f t="shared" si="15"/>
        <v>#REF!</v>
      </c>
      <c r="AJ40" s="183" t="e">
        <f t="shared" si="15"/>
        <v>#REF!</v>
      </c>
      <c r="AK40" s="183" t="e">
        <f t="shared" si="15"/>
        <v>#REF!</v>
      </c>
      <c r="AL40" s="572" t="e">
        <f>#REF!*AM40</f>
        <v>#REF!</v>
      </c>
      <c r="AM40" s="183" t="e">
        <f>#REF!</f>
        <v>#REF!</v>
      </c>
      <c r="AN40" s="569" t="e">
        <f t="shared" si="2"/>
        <v>#REF!</v>
      </c>
      <c r="AO40" s="183" t="e">
        <f t="shared" si="3"/>
        <v>#REF!</v>
      </c>
      <c r="AP40" s="183" t="e">
        <f t="shared" si="16"/>
        <v>#REF!</v>
      </c>
      <c r="AQ40" s="183" t="e">
        <f t="shared" si="16"/>
        <v>#REF!</v>
      </c>
      <c r="AR40" s="183" t="e">
        <f t="shared" si="16"/>
        <v>#REF!</v>
      </c>
      <c r="AS40" s="183" t="e">
        <f t="shared" si="4"/>
        <v>#REF!</v>
      </c>
      <c r="AT40" s="183" t="e">
        <f>AT39*$AN40</f>
        <v>#REF!</v>
      </c>
      <c r="AU40" s="183" t="e">
        <f t="shared" si="5"/>
        <v>#REF!</v>
      </c>
      <c r="AV40" s="183" t="e">
        <f t="shared" si="17"/>
        <v>#REF!</v>
      </c>
      <c r="AW40" s="183" t="e">
        <f t="shared" si="17"/>
        <v>#REF!</v>
      </c>
      <c r="AX40" s="183" t="e">
        <f t="shared" si="17"/>
        <v>#REF!</v>
      </c>
      <c r="AY40" s="183" t="e">
        <f t="shared" si="17"/>
        <v>#REF!</v>
      </c>
      <c r="AZ40" s="183" t="e">
        <f t="shared" si="17"/>
        <v>#REF!</v>
      </c>
      <c r="BA40" s="183" t="e">
        <f t="shared" si="17"/>
        <v>#REF!</v>
      </c>
      <c r="BB40" s="183" t="e">
        <f t="shared" si="17"/>
        <v>#REF!</v>
      </c>
      <c r="BC40" s="183" t="e">
        <f t="shared" si="17"/>
        <v>#REF!</v>
      </c>
      <c r="BD40" s="183" t="e">
        <f t="shared" si="17"/>
        <v>#REF!</v>
      </c>
      <c r="BE40" s="183" t="e">
        <f t="shared" si="17"/>
        <v>#REF!</v>
      </c>
      <c r="BF40" s="183" t="e">
        <f t="shared" si="17"/>
        <v>#REF!</v>
      </c>
      <c r="BG40" s="183" t="e">
        <f t="shared" si="17"/>
        <v>#REF!</v>
      </c>
      <c r="BH40" s="183" t="e">
        <f t="shared" si="17"/>
        <v>#REF!</v>
      </c>
      <c r="BI40" s="188" t="e">
        <f t="shared" si="6"/>
        <v>#REF!</v>
      </c>
      <c r="BJ40" s="183" t="e">
        <f>#REF!</f>
        <v>#REF!</v>
      </c>
      <c r="BK40" s="181"/>
      <c r="BL40" s="183" t="e">
        <f t="shared" si="12"/>
        <v>#REF!</v>
      </c>
      <c r="BM40" s="485" t="e">
        <f>#REF!</f>
        <v>#REF!</v>
      </c>
      <c r="BN40" s="183" t="e">
        <f>#REF!</f>
        <v>#REF!</v>
      </c>
      <c r="BO40" s="183" t="e">
        <f>#REF!</f>
        <v>#REF!</v>
      </c>
      <c r="BP40" s="485" t="e">
        <f t="shared" si="7"/>
        <v>#REF!</v>
      </c>
      <c r="BQ40" s="183" t="e">
        <f>#REF!</f>
        <v>#REF!</v>
      </c>
      <c r="BR40" s="183" t="e">
        <f>#REF!</f>
        <v>#REF!</v>
      </c>
      <c r="BS40" s="183" t="e">
        <f>#REF!+#REF!</f>
        <v>#REF!</v>
      </c>
      <c r="BT40" s="183" t="e">
        <f>#REF!</f>
        <v>#REF!</v>
      </c>
      <c r="BU40" s="207" t="e">
        <f t="shared" si="8"/>
        <v>#REF!</v>
      </c>
      <c r="BV40" s="183" t="e">
        <f>#REF!</f>
        <v>#REF!</v>
      </c>
      <c r="BW40" s="183" t="e">
        <f>#REF!</f>
        <v>#REF!</v>
      </c>
      <c r="BX40" s="183" t="e">
        <f>#REF!</f>
        <v>#REF!</v>
      </c>
      <c r="BY40" s="183" t="e">
        <f>#REF!+#REF!+#REF!</f>
        <v>#REF!</v>
      </c>
      <c r="BZ40" s="183" t="e">
        <f>#REF!</f>
        <v>#REF!</v>
      </c>
      <c r="CA40" s="183" t="e">
        <f>#REF!</f>
        <v>#REF!</v>
      </c>
      <c r="CB40" s="183" t="e">
        <f>#REF!</f>
        <v>#REF!</v>
      </c>
      <c r="CC40" s="183" t="e">
        <f>#REF!</f>
        <v>#REF!</v>
      </c>
      <c r="CD40" s="183" t="e">
        <f>#REF!</f>
        <v>#REF!</v>
      </c>
      <c r="CE40" s="485" t="e">
        <f>#REF!</f>
        <v>#REF!</v>
      </c>
      <c r="CF40" s="184" t="e">
        <f t="shared" si="9"/>
        <v>#REF!</v>
      </c>
      <c r="CG40" s="188" t="e">
        <f t="shared" si="10"/>
        <v>#REF!</v>
      </c>
      <c r="CH40" s="181"/>
      <c r="CI40" s="183" t="e">
        <f>#REF!</f>
        <v>#REF!</v>
      </c>
      <c r="CJ40" s="530" t="e">
        <f>#REF!</f>
        <v>#REF!</v>
      </c>
      <c r="CK40" s="188" t="e">
        <f t="shared" si="11"/>
        <v>#REF!</v>
      </c>
      <c r="CL40" s="183" t="e">
        <f>#REF!</f>
        <v>#REF!</v>
      </c>
      <c r="CM40" s="188" t="e">
        <f t="shared" si="13"/>
        <v>#REF!</v>
      </c>
    </row>
    <row r="41" spans="2:91" ht="15.75" hidden="1" customHeight="1">
      <c r="B41" s="3" t="b">
        <f>IFERROR(AND(REPORT_OWNER&lt;&gt;"Версия организации",C41&gt;=FIRST_PERIOD_IN_LT+PERIOD_LENGTH-1),FALSE)</f>
        <v>0</v>
      </c>
      <c r="C41" s="567">
        <f>C40+1</f>
        <v>2029</v>
      </c>
      <c r="D41" s="1">
        <v>0</v>
      </c>
      <c r="AB41" s="567">
        <f>AB40+1</f>
        <v>2029</v>
      </c>
      <c r="AC41" s="444" t="s">
        <v>752</v>
      </c>
      <c r="AD41" s="567" t="str">
        <f t="shared" si="0"/>
        <v>План2029</v>
      </c>
      <c r="AE41" s="571" t="e">
        <f>#REF!</f>
        <v>#REF!</v>
      </c>
      <c r="AF41" s="571" t="e">
        <f>#REF!</f>
        <v>#REF!</v>
      </c>
      <c r="AG41" s="188" t="e">
        <f t="shared" si="1"/>
        <v>#REF!</v>
      </c>
      <c r="AH41" s="183" t="e">
        <f t="shared" si="15"/>
        <v>#REF!</v>
      </c>
      <c r="AI41" s="183" t="e">
        <f t="shared" si="15"/>
        <v>#REF!</v>
      </c>
      <c r="AJ41" s="183" t="e">
        <f t="shared" si="15"/>
        <v>#REF!</v>
      </c>
      <c r="AK41" s="183" t="e">
        <f t="shared" si="15"/>
        <v>#REF!</v>
      </c>
      <c r="AL41" s="572" t="e">
        <f>#REF!*AM41</f>
        <v>#REF!</v>
      </c>
      <c r="AM41" s="183" t="e">
        <f>#REF!</f>
        <v>#REF!</v>
      </c>
      <c r="AN41" s="569" t="e">
        <f t="shared" si="2"/>
        <v>#REF!</v>
      </c>
      <c r="AO41" s="183" t="e">
        <f t="shared" si="3"/>
        <v>#REF!</v>
      </c>
      <c r="AP41" s="183" t="e">
        <f t="shared" si="16"/>
        <v>#REF!</v>
      </c>
      <c r="AQ41" s="183" t="e">
        <f t="shared" si="16"/>
        <v>#REF!</v>
      </c>
      <c r="AR41" s="183" t="e">
        <f t="shared" si="16"/>
        <v>#REF!</v>
      </c>
      <c r="AS41" s="183" t="e">
        <f t="shared" si="4"/>
        <v>#REF!</v>
      </c>
      <c r="AT41" s="183" t="e">
        <f>AT40*$AN41</f>
        <v>#REF!</v>
      </c>
      <c r="AU41" s="183" t="e">
        <f t="shared" si="5"/>
        <v>#REF!</v>
      </c>
      <c r="AV41" s="183" t="e">
        <f t="shared" si="17"/>
        <v>#REF!</v>
      </c>
      <c r="AW41" s="183" t="e">
        <f t="shared" si="17"/>
        <v>#REF!</v>
      </c>
      <c r="AX41" s="183" t="e">
        <f t="shared" si="17"/>
        <v>#REF!</v>
      </c>
      <c r="AY41" s="183" t="e">
        <f t="shared" si="17"/>
        <v>#REF!</v>
      </c>
      <c r="AZ41" s="183" t="e">
        <f t="shared" si="17"/>
        <v>#REF!</v>
      </c>
      <c r="BA41" s="183" t="e">
        <f t="shared" si="17"/>
        <v>#REF!</v>
      </c>
      <c r="BB41" s="183" t="e">
        <f t="shared" si="17"/>
        <v>#REF!</v>
      </c>
      <c r="BC41" s="183" t="e">
        <f t="shared" si="17"/>
        <v>#REF!</v>
      </c>
      <c r="BD41" s="183" t="e">
        <f t="shared" si="17"/>
        <v>#REF!</v>
      </c>
      <c r="BE41" s="183" t="e">
        <f t="shared" si="17"/>
        <v>#REF!</v>
      </c>
      <c r="BF41" s="183" t="e">
        <f t="shared" si="17"/>
        <v>#REF!</v>
      </c>
      <c r="BG41" s="183" t="e">
        <f t="shared" si="17"/>
        <v>#REF!</v>
      </c>
      <c r="BH41" s="183" t="e">
        <f t="shared" si="17"/>
        <v>#REF!</v>
      </c>
      <c r="BI41" s="188" t="e">
        <f t="shared" si="6"/>
        <v>#REF!</v>
      </c>
      <c r="BJ41" s="183" t="e">
        <f>#REF!</f>
        <v>#REF!</v>
      </c>
      <c r="BK41" s="181"/>
      <c r="BL41" s="183" t="e">
        <f t="shared" si="12"/>
        <v>#REF!</v>
      </c>
      <c r="BM41" s="485" t="e">
        <f>#REF!</f>
        <v>#REF!</v>
      </c>
      <c r="BN41" s="183" t="e">
        <f>#REF!</f>
        <v>#REF!</v>
      </c>
      <c r="BO41" s="183" t="e">
        <f>#REF!</f>
        <v>#REF!</v>
      </c>
      <c r="BP41" s="485" t="e">
        <f t="shared" si="7"/>
        <v>#REF!</v>
      </c>
      <c r="BQ41" s="183" t="e">
        <f>#REF!</f>
        <v>#REF!</v>
      </c>
      <c r="BR41" s="183" t="e">
        <f>#REF!</f>
        <v>#REF!</v>
      </c>
      <c r="BS41" s="183" t="e">
        <f>#REF!+#REF!</f>
        <v>#REF!</v>
      </c>
      <c r="BT41" s="183" t="e">
        <f>#REF!</f>
        <v>#REF!</v>
      </c>
      <c r="BU41" s="183" t="e">
        <f t="shared" si="8"/>
        <v>#REF!</v>
      </c>
      <c r="BV41" s="183" t="e">
        <f>#REF!</f>
        <v>#REF!</v>
      </c>
      <c r="BW41" s="183" t="e">
        <f>#REF!</f>
        <v>#REF!</v>
      </c>
      <c r="BX41" s="183" t="e">
        <f>#REF!</f>
        <v>#REF!</v>
      </c>
      <c r="BY41" s="183" t="e">
        <f>#REF!+#REF!+#REF!</f>
        <v>#REF!</v>
      </c>
      <c r="BZ41" s="183" t="e">
        <f>#REF!</f>
        <v>#REF!</v>
      </c>
      <c r="CA41" s="183" t="e">
        <f>#REF!</f>
        <v>#REF!</v>
      </c>
      <c r="CB41" s="183" t="e">
        <f>#REF!</f>
        <v>#REF!</v>
      </c>
      <c r="CC41" s="183" t="e">
        <f>#REF!</f>
        <v>#REF!</v>
      </c>
      <c r="CD41" s="183" t="e">
        <f>#REF!</f>
        <v>#REF!</v>
      </c>
      <c r="CE41" s="485" t="e">
        <f>#REF!</f>
        <v>#REF!</v>
      </c>
      <c r="CF41" s="184" t="e">
        <f t="shared" si="9"/>
        <v>#REF!</v>
      </c>
      <c r="CG41" s="188" t="e">
        <f t="shared" si="10"/>
        <v>#REF!</v>
      </c>
      <c r="CH41" s="181"/>
      <c r="CI41" s="183" t="e">
        <f>#REF!</f>
        <v>#REF!</v>
      </c>
      <c r="CJ41" s="530" t="e">
        <f>#REF!</f>
        <v>#REF!</v>
      </c>
      <c r="CK41" s="188" t="e">
        <f t="shared" si="11"/>
        <v>#REF!</v>
      </c>
      <c r="CL41" s="183" t="e">
        <f>#REF!</f>
        <v>#REF!</v>
      </c>
      <c r="CM41" s="188" t="e">
        <f t="shared" si="13"/>
        <v>#REF!</v>
      </c>
    </row>
    <row r="42" spans="2:91" ht="15.75" hidden="1" customHeight="1">
      <c r="B42" s="3" t="b">
        <f>IFERROR(AND(REPORT_OWNER&lt;&gt;"Версия организации",C42&gt;=FIRST_PERIOD_IN_LT+PERIOD_LENGTH-1),FALSE)</f>
        <v>0</v>
      </c>
      <c r="C42" s="567">
        <f>C41+1</f>
        <v>2030</v>
      </c>
      <c r="D42" s="1">
        <v>26</v>
      </c>
      <c r="AB42" s="567">
        <f>AB41+1</f>
        <v>2030</v>
      </c>
      <c r="AC42" s="444" t="s">
        <v>752</v>
      </c>
      <c r="AD42" s="567" t="str">
        <f t="shared" si="0"/>
        <v>План2030</v>
      </c>
      <c r="AE42" s="571" t="e">
        <f>#REF!</f>
        <v>#REF!</v>
      </c>
      <c r="AF42" s="571" t="e">
        <f>#REF!</f>
        <v>#REF!</v>
      </c>
      <c r="AG42" s="188" t="e">
        <f t="shared" si="1"/>
        <v>#REF!</v>
      </c>
      <c r="AH42" s="183" t="e">
        <f t="shared" si="15"/>
        <v>#REF!</v>
      </c>
      <c r="AI42" s="183" t="e">
        <f t="shared" si="15"/>
        <v>#REF!</v>
      </c>
      <c r="AJ42" s="183" t="e">
        <f t="shared" si="15"/>
        <v>#REF!</v>
      </c>
      <c r="AK42" s="183" t="e">
        <f t="shared" si="15"/>
        <v>#REF!</v>
      </c>
      <c r="AL42" s="572" t="e">
        <f>#REF!*AM42</f>
        <v>#REF!</v>
      </c>
      <c r="AM42" s="183" t="e">
        <f>#REF!</f>
        <v>#REF!</v>
      </c>
      <c r="AN42" s="569" t="e">
        <f t="shared" si="2"/>
        <v>#REF!</v>
      </c>
      <c r="AO42" s="183" t="e">
        <f t="shared" si="3"/>
        <v>#REF!</v>
      </c>
      <c r="AP42" s="183" t="e">
        <f t="shared" si="16"/>
        <v>#REF!</v>
      </c>
      <c r="AQ42" s="183" t="e">
        <f t="shared" si="16"/>
        <v>#REF!</v>
      </c>
      <c r="AR42" s="183" t="e">
        <f t="shared" si="16"/>
        <v>#REF!</v>
      </c>
      <c r="AS42" s="183" t="e">
        <f t="shared" si="4"/>
        <v>#REF!</v>
      </c>
      <c r="AT42" s="183" t="e">
        <f>AT41*$AN42</f>
        <v>#REF!</v>
      </c>
      <c r="AU42" s="183" t="e">
        <f t="shared" si="5"/>
        <v>#REF!</v>
      </c>
      <c r="AV42" s="183" t="e">
        <f t="shared" si="17"/>
        <v>#REF!</v>
      </c>
      <c r="AW42" s="183" t="e">
        <f t="shared" si="17"/>
        <v>#REF!</v>
      </c>
      <c r="AX42" s="183" t="e">
        <f t="shared" si="17"/>
        <v>#REF!</v>
      </c>
      <c r="AY42" s="183" t="e">
        <f t="shared" si="17"/>
        <v>#REF!</v>
      </c>
      <c r="AZ42" s="183" t="e">
        <f t="shared" si="17"/>
        <v>#REF!</v>
      </c>
      <c r="BA42" s="183" t="e">
        <f t="shared" si="17"/>
        <v>#REF!</v>
      </c>
      <c r="BB42" s="183" t="e">
        <f t="shared" si="17"/>
        <v>#REF!</v>
      </c>
      <c r="BC42" s="183" t="e">
        <f t="shared" si="17"/>
        <v>#REF!</v>
      </c>
      <c r="BD42" s="183" t="e">
        <f t="shared" si="17"/>
        <v>#REF!</v>
      </c>
      <c r="BE42" s="183" t="e">
        <f t="shared" si="17"/>
        <v>#REF!</v>
      </c>
      <c r="BF42" s="183" t="e">
        <f t="shared" si="17"/>
        <v>#REF!</v>
      </c>
      <c r="BG42" s="183" t="e">
        <f t="shared" si="17"/>
        <v>#REF!</v>
      </c>
      <c r="BH42" s="183" t="e">
        <f t="shared" si="17"/>
        <v>#REF!</v>
      </c>
      <c r="BI42" s="188" t="e">
        <f t="shared" si="6"/>
        <v>#REF!</v>
      </c>
      <c r="BJ42" s="183" t="e">
        <f>#REF!</f>
        <v>#REF!</v>
      </c>
      <c r="BK42" s="181"/>
      <c r="BL42" s="183" t="e">
        <f t="shared" si="12"/>
        <v>#REF!</v>
      </c>
      <c r="BM42" s="485" t="e">
        <f>#REF!</f>
        <v>#REF!</v>
      </c>
      <c r="BN42" s="183" t="e">
        <f>#REF!</f>
        <v>#REF!</v>
      </c>
      <c r="BO42" s="183" t="e">
        <f>#REF!</f>
        <v>#REF!</v>
      </c>
      <c r="BP42" s="485" t="e">
        <f t="shared" si="7"/>
        <v>#REF!</v>
      </c>
      <c r="BQ42" s="183" t="e">
        <f>#REF!</f>
        <v>#REF!</v>
      </c>
      <c r="BR42" s="183" t="e">
        <f>#REF!</f>
        <v>#REF!</v>
      </c>
      <c r="BS42" s="183" t="e">
        <f>#REF!+#REF!</f>
        <v>#REF!</v>
      </c>
      <c r="BT42" s="183" t="e">
        <f>#REF!</f>
        <v>#REF!</v>
      </c>
      <c r="BU42" s="183" t="e">
        <f t="shared" si="8"/>
        <v>#REF!</v>
      </c>
      <c r="BV42" s="183" t="e">
        <f>#REF!</f>
        <v>#REF!</v>
      </c>
      <c r="BW42" s="183" t="e">
        <f>#REF!</f>
        <v>#REF!</v>
      </c>
      <c r="BX42" s="183" t="e">
        <f>#REF!</f>
        <v>#REF!</v>
      </c>
      <c r="BY42" s="183" t="e">
        <f>#REF!+#REF!+#REF!</f>
        <v>#REF!</v>
      </c>
      <c r="BZ42" s="183" t="e">
        <f>#REF!</f>
        <v>#REF!</v>
      </c>
      <c r="CA42" s="183" t="e">
        <f>#REF!</f>
        <v>#REF!</v>
      </c>
      <c r="CB42" s="183" t="e">
        <f>#REF!</f>
        <v>#REF!</v>
      </c>
      <c r="CC42" s="183" t="e">
        <f>#REF!</f>
        <v>#REF!</v>
      </c>
      <c r="CD42" s="183" t="e">
        <f>#REF!</f>
        <v>#REF!</v>
      </c>
      <c r="CE42" s="485" t="e">
        <f>#REF!</f>
        <v>#REF!</v>
      </c>
      <c r="CF42" s="184" t="e">
        <f t="shared" si="9"/>
        <v>#REF!</v>
      </c>
      <c r="CG42" s="188" t="e">
        <f t="shared" si="10"/>
        <v>#REF!</v>
      </c>
      <c r="CH42" s="181"/>
      <c r="CI42" s="183" t="e">
        <f>#REF!</f>
        <v>#REF!</v>
      </c>
      <c r="CJ42" s="530" t="e">
        <f>#REF!</f>
        <v>#REF!</v>
      </c>
      <c r="CK42" s="188" t="e">
        <f t="shared" si="11"/>
        <v>#REF!</v>
      </c>
      <c r="CL42" s="183" t="e">
        <f>#REF!</f>
        <v>#REF!</v>
      </c>
      <c r="CM42" s="188" t="e">
        <f t="shared" si="13"/>
        <v>#REF!</v>
      </c>
    </row>
    <row r="43" spans="2:91" ht="15" customHeight="1">
      <c r="D43" s="1">
        <v>20</v>
      </c>
    </row>
    <row r="44" spans="2:91" ht="11.25" hidden="1" customHeight="1">
      <c r="D44" s="1">
        <v>0</v>
      </c>
    </row>
    <row r="45" spans="2:91" ht="15" customHeight="1">
      <c r="D45" s="1">
        <v>20</v>
      </c>
      <c r="AC45" s="1" t="s">
        <v>2355</v>
      </c>
    </row>
    <row r="46" spans="2:91" ht="13.5" customHeight="1">
      <c r="B46" s="3" t="b">
        <f>C46&lt;FIRST_PERIOD_IN_LT-3</f>
        <v>1</v>
      </c>
      <c r="C46" s="567">
        <f>C49-1</f>
        <v>2022</v>
      </c>
      <c r="D46" s="1">
        <v>18</v>
      </c>
      <c r="AB46" s="567">
        <f>AB49-1</f>
        <v>2022</v>
      </c>
      <c r="AC46" s="444" t="s">
        <v>752</v>
      </c>
      <c r="AD46" s="80" t="str">
        <f t="shared" ref="AD46:AD60" si="18">AC46&amp;AB46</f>
        <v>План2022</v>
      </c>
      <c r="AE46" s="568"/>
      <c r="AF46" s="568"/>
      <c r="AG46" s="188">
        <f t="shared" ref="AG46:AG60" si="19">SUM(AH46:AK46)</f>
        <v>0</v>
      </c>
      <c r="AH46" s="529"/>
      <c r="AI46" s="529"/>
      <c r="AJ46" s="529"/>
      <c r="AK46" s="529"/>
      <c r="AL46" s="568"/>
      <c r="AM46" s="529"/>
      <c r="AN46" s="569">
        <f t="shared" ref="AN46:AN60" si="20">(1+AE46)*(1-AF46)*(1+AL46)</f>
        <v>1</v>
      </c>
      <c r="AO46" s="183">
        <f t="shared" ref="AO46:AO60" si="21">SUM(AP46:AQ46)</f>
        <v>0</v>
      </c>
      <c r="AP46" s="182"/>
      <c r="AQ46" s="182"/>
      <c r="AR46" s="182"/>
      <c r="AS46" s="183">
        <f t="shared" ref="AS46:AS60" si="22">AT46+AU46+BB46+BC46+BD46+BE46+BF46+BG46+BH46</f>
        <v>0</v>
      </c>
      <c r="AT46" s="182"/>
      <c r="AU46" s="183">
        <f t="shared" ref="AU46:AU60" si="23">SUM(AV46:BA46)</f>
        <v>0</v>
      </c>
      <c r="AV46" s="182"/>
      <c r="AW46" s="182"/>
      <c r="AX46" s="182"/>
      <c r="AY46" s="182"/>
      <c r="AZ46" s="182"/>
      <c r="BA46" s="182"/>
      <c r="BB46" s="182"/>
      <c r="BC46" s="182"/>
      <c r="BD46" s="182"/>
      <c r="BE46" s="182"/>
      <c r="BF46" s="182"/>
      <c r="BG46" s="182"/>
      <c r="BH46" s="182"/>
      <c r="BI46" s="188">
        <f t="shared" ref="BI46:BI60" si="24">AO46+AR46+AS46</f>
        <v>0</v>
      </c>
      <c r="BJ46" s="183">
        <f>BK46+BL46</f>
        <v>0</v>
      </c>
      <c r="BK46" s="182"/>
      <c r="BL46" s="182"/>
      <c r="BM46" s="182"/>
      <c r="BN46" s="182"/>
      <c r="BO46" s="182"/>
      <c r="BP46" s="485">
        <f t="shared" ref="BP46:BP60" si="25">SUM(BQ46:BS46)</f>
        <v>0</v>
      </c>
      <c r="BQ46" s="452"/>
      <c r="BR46" s="452"/>
      <c r="BS46" s="452"/>
      <c r="BT46" s="452"/>
      <c r="BU46" s="207">
        <f t="shared" ref="BU46:BU60" si="26">BV46+BW46+BY46</f>
        <v>0</v>
      </c>
      <c r="BV46" s="452"/>
      <c r="BW46" s="452"/>
      <c r="BX46" s="452"/>
      <c r="BY46" s="452"/>
      <c r="BZ46" s="452"/>
      <c r="CA46" s="452"/>
      <c r="CB46" s="452"/>
      <c r="CC46" s="452"/>
      <c r="CD46" s="452"/>
      <c r="CE46" s="452"/>
      <c r="CF46" s="184">
        <f t="shared" ref="CF46:CF60" si="27">IF((CK46-BJ46-CA46-CD46-CE46-BO46)=0,0,(CD46+CE46)/(CK46-BJ46-CA46-CD46-CE46-BO46))</f>
        <v>0</v>
      </c>
      <c r="CG46" s="188">
        <f t="shared" ref="CG46:CG60" si="28">BJ46+BM46+BN46+BP46+BU46+BZ46+CB46+BT46+CC46+CD46+CE46</f>
        <v>0</v>
      </c>
      <c r="CH46" s="182"/>
      <c r="CI46" s="182"/>
      <c r="CJ46" s="529"/>
      <c r="CK46" s="188">
        <f t="shared" ref="CK46:CK60" si="29">SUM(CG46,CI46,BI46,CJ46)</f>
        <v>0</v>
      </c>
      <c r="CL46" s="77"/>
      <c r="CM46" s="77"/>
    </row>
    <row r="47" spans="2:91" ht="19.5" customHeight="1">
      <c r="B47" s="3" t="b">
        <f>C47&lt;FIRST_PERIOD_IN_LT-3</f>
        <v>1</v>
      </c>
      <c r="C47" s="567">
        <f>C46</f>
        <v>2022</v>
      </c>
      <c r="D47" s="1">
        <v>26</v>
      </c>
      <c r="AB47" s="567">
        <f>AB46</f>
        <v>2022</v>
      </c>
      <c r="AC47" s="444" t="s">
        <v>2352</v>
      </c>
      <c r="AD47" s="80" t="str">
        <f t="shared" si="18"/>
        <v>Факт ТСО2022</v>
      </c>
      <c r="AE47" s="568" t="e">
        <f>#REF!</f>
        <v>#REF!</v>
      </c>
      <c r="AF47" s="568" t="e">
        <f>#REF!</f>
        <v>#REF!</v>
      </c>
      <c r="AG47" s="188">
        <f t="shared" si="19"/>
        <v>0</v>
      </c>
      <c r="AH47" s="529"/>
      <c r="AI47" s="529"/>
      <c r="AJ47" s="529"/>
      <c r="AK47" s="529"/>
      <c r="AL47" s="568" t="e">
        <f>#REF!*AM47</f>
        <v>#REF!</v>
      </c>
      <c r="AM47" s="529" t="e">
        <f>#REF!</f>
        <v>#REF!</v>
      </c>
      <c r="AN47" s="569" t="e">
        <f t="shared" si="20"/>
        <v>#REF!</v>
      </c>
      <c r="AO47" s="183" t="e">
        <f t="shared" si="21"/>
        <v>#REF!</v>
      </c>
      <c r="AP47" s="182" t="e">
        <f>#REF!</f>
        <v>#REF!</v>
      </c>
      <c r="AQ47" s="182" t="e">
        <f>#REF!</f>
        <v>#REF!</v>
      </c>
      <c r="AR47" s="182" t="e">
        <f>#REF!</f>
        <v>#REF!</v>
      </c>
      <c r="AS47" s="183" t="e">
        <f t="shared" si="22"/>
        <v>#REF!</v>
      </c>
      <c r="AT47" s="182" t="e">
        <f>#REF!</f>
        <v>#REF!</v>
      </c>
      <c r="AU47" s="183" t="e">
        <f t="shared" si="23"/>
        <v>#REF!</v>
      </c>
      <c r="AV47" s="182" t="e">
        <f>#REF!</f>
        <v>#REF!</v>
      </c>
      <c r="AW47" s="182" t="e">
        <f>#REF!</f>
        <v>#REF!</v>
      </c>
      <c r="AX47" s="182" t="e">
        <f>#REF!</f>
        <v>#REF!</v>
      </c>
      <c r="AY47" s="182" t="e">
        <f>#REF!</f>
        <v>#REF!</v>
      </c>
      <c r="AZ47" s="182" t="e">
        <f>#REF!</f>
        <v>#REF!</v>
      </c>
      <c r="BA47" s="182" t="e">
        <f>#REF!</f>
        <v>#REF!</v>
      </c>
      <c r="BB47" s="182" t="e">
        <f>#REF!</f>
        <v>#REF!</v>
      </c>
      <c r="BC47" s="182" t="e">
        <f>#REF!</f>
        <v>#REF!</v>
      </c>
      <c r="BD47" s="182" t="e">
        <f>#REF!</f>
        <v>#REF!</v>
      </c>
      <c r="BE47" s="182" t="e">
        <f>#REF!</f>
        <v>#REF!</v>
      </c>
      <c r="BF47" s="182" t="e">
        <f>#REF!+#REF!</f>
        <v>#REF!</v>
      </c>
      <c r="BG47" s="182" t="e">
        <f>#REF!</f>
        <v>#REF!</v>
      </c>
      <c r="BH47" s="182" t="e">
        <f>#REF!</f>
        <v>#REF!</v>
      </c>
      <c r="BI47" s="188" t="e">
        <f t="shared" si="24"/>
        <v>#REF!</v>
      </c>
      <c r="BJ47" s="183" t="e">
        <f>#REF!</f>
        <v>#REF!</v>
      </c>
      <c r="BK47" s="182"/>
      <c r="BL47" s="183" t="e">
        <f t="shared" ref="BL47:BL60" si="30">BJ47-BK47</f>
        <v>#REF!</v>
      </c>
      <c r="BM47" s="182" t="e">
        <f>#REF!</f>
        <v>#REF!</v>
      </c>
      <c r="BN47" s="182" t="e">
        <f>#REF!</f>
        <v>#REF!</v>
      </c>
      <c r="BO47" s="182" t="e">
        <f>#REF!</f>
        <v>#REF!</v>
      </c>
      <c r="BP47" s="485" t="e">
        <f t="shared" si="25"/>
        <v>#REF!</v>
      </c>
      <c r="BQ47" s="452" t="e">
        <f>#REF!</f>
        <v>#REF!</v>
      </c>
      <c r="BR47" s="452" t="e">
        <f>#REF!</f>
        <v>#REF!</v>
      </c>
      <c r="BS47" s="452" t="e">
        <f>#REF!+#REF!</f>
        <v>#REF!</v>
      </c>
      <c r="BT47" s="452" t="e">
        <f>#REF!</f>
        <v>#REF!</v>
      </c>
      <c r="BU47" s="207" t="e">
        <f t="shared" si="26"/>
        <v>#REF!</v>
      </c>
      <c r="BV47" s="452" t="e">
        <f>#REF!</f>
        <v>#REF!</v>
      </c>
      <c r="BW47" s="452" t="e">
        <f>#REF!</f>
        <v>#REF!</v>
      </c>
      <c r="BX47" s="452" t="e">
        <f>#REF!</f>
        <v>#REF!</v>
      </c>
      <c r="BY47" s="452" t="e">
        <f>#REF!+#REF!+#REF!</f>
        <v>#REF!</v>
      </c>
      <c r="BZ47" s="452" t="e">
        <f>#REF!</f>
        <v>#REF!</v>
      </c>
      <c r="CA47" s="452" t="e">
        <f>#REF!</f>
        <v>#REF!</v>
      </c>
      <c r="CB47" s="452" t="e">
        <f>#REF!</f>
        <v>#REF!</v>
      </c>
      <c r="CC47" s="452" t="e">
        <f>#REF!</f>
        <v>#REF!</v>
      </c>
      <c r="CD47" s="452" t="e">
        <f>#REF!</f>
        <v>#REF!</v>
      </c>
      <c r="CE47" s="452" t="e">
        <f>#REF!</f>
        <v>#REF!</v>
      </c>
      <c r="CF47" s="184" t="e">
        <f t="shared" si="27"/>
        <v>#REF!</v>
      </c>
      <c r="CG47" s="188" t="e">
        <f t="shared" si="28"/>
        <v>#REF!</v>
      </c>
      <c r="CH47" s="182"/>
      <c r="CI47" s="182" t="e">
        <f>#REF!</f>
        <v>#REF!</v>
      </c>
      <c r="CJ47" s="529" t="e">
        <f>#REF!</f>
        <v>#REF!</v>
      </c>
      <c r="CK47" s="188" t="e">
        <f t="shared" si="29"/>
        <v>#REF!</v>
      </c>
      <c r="CL47" s="188" t="e">
        <f>#REF!</f>
        <v>#REF!</v>
      </c>
      <c r="CM47" s="188" t="e">
        <f t="shared" ref="CM47:CM60" si="31">CL47-CK47</f>
        <v>#REF!</v>
      </c>
    </row>
    <row r="48" spans="2:91" ht="21.75" hidden="1" customHeight="1">
      <c r="B48" s="3" t="b">
        <f>REPORT_OWNER&lt;&gt;"Версия организации"</f>
        <v>0</v>
      </c>
      <c r="C48" s="567">
        <f>C47</f>
        <v>2022</v>
      </c>
      <c r="D48" s="1">
        <v>36</v>
      </c>
      <c r="AB48" s="567">
        <f>AB47</f>
        <v>2022</v>
      </c>
      <c r="AC48" s="444" t="s">
        <v>2353</v>
      </c>
      <c r="AD48" s="80" t="str">
        <f t="shared" si="18"/>
        <v>Экономически-обоснованный факт, признанный РЭК2022</v>
      </c>
      <c r="AE48" s="570" t="e">
        <f>#REF!</f>
        <v>#REF!</v>
      </c>
      <c r="AF48" s="570" t="e">
        <f>#REF!</f>
        <v>#REF!</v>
      </c>
      <c r="AG48" s="188">
        <f t="shared" si="19"/>
        <v>0</v>
      </c>
      <c r="AH48" s="530"/>
      <c r="AI48" s="530"/>
      <c r="AJ48" s="530"/>
      <c r="AK48" s="530"/>
      <c r="AL48" s="570" t="e">
        <f>#REF!*AM48</f>
        <v>#REF!</v>
      </c>
      <c r="AM48" s="530" t="e">
        <f>#REF!</f>
        <v>#REF!</v>
      </c>
      <c r="AN48" s="569" t="e">
        <f t="shared" si="20"/>
        <v>#REF!</v>
      </c>
      <c r="AO48" s="183" t="e">
        <f t="shared" si="21"/>
        <v>#REF!</v>
      </c>
      <c r="AP48" s="181" t="e">
        <f>#REF!</f>
        <v>#REF!</v>
      </c>
      <c r="AQ48" s="181" t="e">
        <f>#REF!</f>
        <v>#REF!</v>
      </c>
      <c r="AR48" s="181" t="e">
        <f>#REF!</f>
        <v>#REF!</v>
      </c>
      <c r="AS48" s="183" t="e">
        <f t="shared" si="22"/>
        <v>#REF!</v>
      </c>
      <c r="AT48" s="181" t="e">
        <f>#REF!</f>
        <v>#REF!</v>
      </c>
      <c r="AU48" s="183" t="e">
        <f t="shared" si="23"/>
        <v>#REF!</v>
      </c>
      <c r="AV48" s="181" t="e">
        <f>#REF!</f>
        <v>#REF!</v>
      </c>
      <c r="AW48" s="181" t="e">
        <f>#REF!</f>
        <v>#REF!</v>
      </c>
      <c r="AX48" s="181" t="e">
        <f>#REF!</f>
        <v>#REF!</v>
      </c>
      <c r="AY48" s="181" t="e">
        <f>#REF!</f>
        <v>#REF!</v>
      </c>
      <c r="AZ48" s="181" t="e">
        <f>#REF!</f>
        <v>#REF!</v>
      </c>
      <c r="BA48" s="181" t="e">
        <f>#REF!</f>
        <v>#REF!</v>
      </c>
      <c r="BB48" s="181" t="e">
        <f>#REF!</f>
        <v>#REF!</v>
      </c>
      <c r="BC48" s="181" t="e">
        <f>#REF!</f>
        <v>#REF!</v>
      </c>
      <c r="BD48" s="181" t="e">
        <f>#REF!</f>
        <v>#REF!</v>
      </c>
      <c r="BE48" s="181" t="e">
        <f>#REF!</f>
        <v>#REF!</v>
      </c>
      <c r="BF48" s="181" t="e">
        <f>#REF!+#REF!</f>
        <v>#REF!</v>
      </c>
      <c r="BG48" s="181" t="e">
        <f>#REF!</f>
        <v>#REF!</v>
      </c>
      <c r="BH48" s="181" t="e">
        <f>#REF!</f>
        <v>#REF!</v>
      </c>
      <c r="BI48" s="188" t="e">
        <f t="shared" si="24"/>
        <v>#REF!</v>
      </c>
      <c r="BJ48" s="183" t="e">
        <f>#REF!</f>
        <v>#REF!</v>
      </c>
      <c r="BK48" s="181"/>
      <c r="BL48" s="183" t="e">
        <f t="shared" si="30"/>
        <v>#REF!</v>
      </c>
      <c r="BM48" s="181" t="e">
        <f>#REF!</f>
        <v>#REF!</v>
      </c>
      <c r="BN48" s="181" t="e">
        <f>#REF!</f>
        <v>#REF!</v>
      </c>
      <c r="BO48" s="181" t="e">
        <f>#REF!</f>
        <v>#REF!</v>
      </c>
      <c r="BP48" s="485" t="e">
        <f t="shared" si="25"/>
        <v>#REF!</v>
      </c>
      <c r="BQ48" s="453" t="e">
        <f>#REF!</f>
        <v>#REF!</v>
      </c>
      <c r="BR48" s="453" t="e">
        <f>#REF!</f>
        <v>#REF!</v>
      </c>
      <c r="BS48" s="453" t="e">
        <f>#REF!+#REF!</f>
        <v>#REF!</v>
      </c>
      <c r="BT48" s="453" t="e">
        <f>#REF!</f>
        <v>#REF!</v>
      </c>
      <c r="BU48" s="207" t="e">
        <f t="shared" si="26"/>
        <v>#REF!</v>
      </c>
      <c r="BV48" s="453" t="e">
        <f>#REF!</f>
        <v>#REF!</v>
      </c>
      <c r="BW48" s="453" t="e">
        <f>#REF!</f>
        <v>#REF!</v>
      </c>
      <c r="BX48" s="453" t="e">
        <f>#REF!</f>
        <v>#REF!</v>
      </c>
      <c r="BY48" s="453" t="e">
        <f>#REF!+#REF!+#REF!</f>
        <v>#REF!</v>
      </c>
      <c r="BZ48" s="453" t="e">
        <f>#REF!</f>
        <v>#REF!</v>
      </c>
      <c r="CA48" s="453" t="e">
        <f>#REF!</f>
        <v>#REF!</v>
      </c>
      <c r="CB48" s="453" t="e">
        <f>#REF!</f>
        <v>#REF!</v>
      </c>
      <c r="CC48" s="453" t="e">
        <f>#REF!</f>
        <v>#REF!</v>
      </c>
      <c r="CD48" s="453" t="e">
        <f>#REF!</f>
        <v>#REF!</v>
      </c>
      <c r="CE48" s="453" t="e">
        <f>#REF!</f>
        <v>#REF!</v>
      </c>
      <c r="CF48" s="184" t="e">
        <f t="shared" si="27"/>
        <v>#REF!</v>
      </c>
      <c r="CG48" s="188" t="e">
        <f t="shared" si="28"/>
        <v>#REF!</v>
      </c>
      <c r="CH48" s="181"/>
      <c r="CI48" s="181" t="e">
        <f>#REF!</f>
        <v>#REF!</v>
      </c>
      <c r="CJ48" s="530" t="e">
        <f>#REF!</f>
        <v>#REF!</v>
      </c>
      <c r="CK48" s="188" t="e">
        <f t="shared" si="29"/>
        <v>#REF!</v>
      </c>
      <c r="CL48" s="188" t="e">
        <f>#REF!</f>
        <v>#REF!</v>
      </c>
      <c r="CM48" s="188" t="e">
        <f t="shared" si="31"/>
        <v>#REF!</v>
      </c>
    </row>
    <row r="49" spans="2:92" ht="11.25" hidden="1" customHeight="1">
      <c r="B49" s="3" t="b">
        <f>C49&lt;FIRST_PERIOD_IN_LT-3</f>
        <v>0</v>
      </c>
      <c r="C49" s="567">
        <f>C51</f>
        <v>2023</v>
      </c>
      <c r="D49" s="1">
        <v>0</v>
      </c>
      <c r="AB49" s="567">
        <f>AB51</f>
        <v>2023</v>
      </c>
      <c r="AC49" s="444" t="s">
        <v>752</v>
      </c>
      <c r="AD49" s="567" t="str">
        <f t="shared" si="18"/>
        <v>План2023</v>
      </c>
      <c r="AE49" s="570" t="e">
        <f>#REF!</f>
        <v>#REF!</v>
      </c>
      <c r="AF49" s="570" t="e">
        <f>#REF!</f>
        <v>#REF!</v>
      </c>
      <c r="AG49" s="188" t="e">
        <f t="shared" si="19"/>
        <v>#REF!</v>
      </c>
      <c r="AH49" s="530" t="e">
        <f>#REF!</f>
        <v>#REF!</v>
      </c>
      <c r="AI49" s="530" t="e">
        <f>#REF!</f>
        <v>#REF!</v>
      </c>
      <c r="AJ49" s="530" t="e">
        <f>#REF!</f>
        <v>#REF!</v>
      </c>
      <c r="AK49" s="530" t="e">
        <f>#REF!</f>
        <v>#REF!</v>
      </c>
      <c r="AL49" s="570" t="e">
        <f>#REF!*AM49</f>
        <v>#REF!</v>
      </c>
      <c r="AM49" s="530" t="e">
        <f>#REF!</f>
        <v>#REF!</v>
      </c>
      <c r="AN49" s="569" t="e">
        <f t="shared" si="20"/>
        <v>#REF!</v>
      </c>
      <c r="AO49" s="183" t="e">
        <f t="shared" si="21"/>
        <v>#REF!</v>
      </c>
      <c r="AP49" s="181" t="e">
        <f>#REF!</f>
        <v>#REF!</v>
      </c>
      <c r="AQ49" s="181" t="e">
        <f>#REF!</f>
        <v>#REF!</v>
      </c>
      <c r="AR49" s="181" t="e">
        <f>#REF!</f>
        <v>#REF!</v>
      </c>
      <c r="AS49" s="183" t="e">
        <f t="shared" si="22"/>
        <v>#REF!</v>
      </c>
      <c r="AT49" s="181" t="e">
        <f>#REF!</f>
        <v>#REF!</v>
      </c>
      <c r="AU49" s="183" t="e">
        <f t="shared" si="23"/>
        <v>#REF!</v>
      </c>
      <c r="AV49" s="181" t="e">
        <f>#REF!</f>
        <v>#REF!</v>
      </c>
      <c r="AW49" s="181" t="e">
        <f>#REF!</f>
        <v>#REF!</v>
      </c>
      <c r="AX49" s="181" t="e">
        <f>#REF!</f>
        <v>#REF!</v>
      </c>
      <c r="AY49" s="181" t="e">
        <f>#REF!</f>
        <v>#REF!</v>
      </c>
      <c r="AZ49" s="181" t="e">
        <f>#REF!</f>
        <v>#REF!</v>
      </c>
      <c r="BA49" s="181" t="e">
        <f>#REF!</f>
        <v>#REF!</v>
      </c>
      <c r="BB49" s="181" t="e">
        <f>#REF!</f>
        <v>#REF!</v>
      </c>
      <c r="BC49" s="181" t="e">
        <f>#REF!</f>
        <v>#REF!</v>
      </c>
      <c r="BD49" s="181" t="e">
        <f>#REF!</f>
        <v>#REF!</v>
      </c>
      <c r="BE49" s="181" t="e">
        <f>#REF!</f>
        <v>#REF!</v>
      </c>
      <c r="BF49" s="181" t="e">
        <f>#REF!+#REF!</f>
        <v>#REF!</v>
      </c>
      <c r="BG49" s="181" t="e">
        <f>#REF!</f>
        <v>#REF!</v>
      </c>
      <c r="BH49" s="181" t="e">
        <f>#REF!</f>
        <v>#REF!</v>
      </c>
      <c r="BI49" s="188" t="e">
        <f t="shared" si="24"/>
        <v>#REF!</v>
      </c>
      <c r="BJ49" s="183" t="e">
        <f>#REF!</f>
        <v>#REF!</v>
      </c>
      <c r="BK49" s="181"/>
      <c r="BL49" s="183" t="e">
        <f t="shared" si="30"/>
        <v>#REF!</v>
      </c>
      <c r="BM49" s="181" t="e">
        <f>#REF!</f>
        <v>#REF!</v>
      </c>
      <c r="BN49" s="181" t="e">
        <f>#REF!</f>
        <v>#REF!</v>
      </c>
      <c r="BO49" s="181" t="e">
        <f>#REF!</f>
        <v>#REF!</v>
      </c>
      <c r="BP49" s="485" t="e">
        <f t="shared" si="25"/>
        <v>#REF!</v>
      </c>
      <c r="BQ49" s="453" t="e">
        <f>#REF!</f>
        <v>#REF!</v>
      </c>
      <c r="BR49" s="453" t="e">
        <f>#REF!</f>
        <v>#REF!</v>
      </c>
      <c r="BS49" s="453" t="e">
        <f>#REF!+#REF!</f>
        <v>#REF!</v>
      </c>
      <c r="BT49" s="453" t="e">
        <f>#REF!</f>
        <v>#REF!</v>
      </c>
      <c r="BU49" s="207" t="e">
        <f t="shared" si="26"/>
        <v>#REF!</v>
      </c>
      <c r="BV49" s="453" t="e">
        <f>#REF!</f>
        <v>#REF!</v>
      </c>
      <c r="BW49" s="453" t="e">
        <f>#REF!</f>
        <v>#REF!</v>
      </c>
      <c r="BX49" s="453" t="e">
        <f>#REF!</f>
        <v>#REF!</v>
      </c>
      <c r="BY49" s="453" t="e">
        <f>#REF!+#REF!+#REF!</f>
        <v>#REF!</v>
      </c>
      <c r="BZ49" s="453" t="e">
        <f>#REF!</f>
        <v>#REF!</v>
      </c>
      <c r="CA49" s="453" t="e">
        <f>#REF!</f>
        <v>#REF!</v>
      </c>
      <c r="CB49" s="453" t="e">
        <f>#REF!</f>
        <v>#REF!</v>
      </c>
      <c r="CC49" s="453" t="e">
        <f>#REF!</f>
        <v>#REF!</v>
      </c>
      <c r="CD49" s="453" t="e">
        <f>#REF!</f>
        <v>#REF!</v>
      </c>
      <c r="CE49" s="453" t="e">
        <f>#REF!</f>
        <v>#REF!</v>
      </c>
      <c r="CF49" s="184" t="e">
        <f t="shared" si="27"/>
        <v>#REF!</v>
      </c>
      <c r="CG49" s="188" t="e">
        <f t="shared" si="28"/>
        <v>#REF!</v>
      </c>
      <c r="CH49" s="181"/>
      <c r="CI49" s="181" t="e">
        <f>#REF!</f>
        <v>#REF!</v>
      </c>
      <c r="CJ49" s="530" t="e">
        <f>#REF!</f>
        <v>#REF!</v>
      </c>
      <c r="CK49" s="188" t="e">
        <f t="shared" si="29"/>
        <v>#REF!</v>
      </c>
      <c r="CL49" s="188" t="e">
        <f>#REF!</f>
        <v>#REF!</v>
      </c>
      <c r="CM49" s="188" t="e">
        <f t="shared" si="31"/>
        <v>#REF!</v>
      </c>
    </row>
    <row r="50" spans="2:92" ht="11.25" hidden="1" customHeight="1">
      <c r="B50" s="3" t="b">
        <f>C50&lt;FIRST_PERIOD_IN_LT-3</f>
        <v>0</v>
      </c>
      <c r="C50" s="567">
        <f>C51</f>
        <v>2023</v>
      </c>
      <c r="D50" s="1">
        <v>0</v>
      </c>
      <c r="AB50" s="567">
        <f>AB51</f>
        <v>2023</v>
      </c>
      <c r="AC50" s="444" t="s">
        <v>2352</v>
      </c>
      <c r="AD50" s="567" t="str">
        <f t="shared" si="18"/>
        <v>Факт ТСО2023</v>
      </c>
      <c r="AE50" s="570" t="e">
        <f>#REF!</f>
        <v>#REF!</v>
      </c>
      <c r="AF50" s="570" t="e">
        <f>#REF!</f>
        <v>#REF!</v>
      </c>
      <c r="AG50" s="188" t="e">
        <f t="shared" si="19"/>
        <v>#REF!</v>
      </c>
      <c r="AH50" s="530" t="e">
        <f>#REF!</f>
        <v>#REF!</v>
      </c>
      <c r="AI50" s="530" t="e">
        <f>#REF!</f>
        <v>#REF!</v>
      </c>
      <c r="AJ50" s="530" t="e">
        <f>#REF!</f>
        <v>#REF!</v>
      </c>
      <c r="AK50" s="530" t="e">
        <f>#REF!</f>
        <v>#REF!</v>
      </c>
      <c r="AL50" s="570" t="e">
        <f>#REF!*AM50</f>
        <v>#REF!</v>
      </c>
      <c r="AM50" s="530" t="e">
        <f>#REF!</f>
        <v>#REF!</v>
      </c>
      <c r="AN50" s="569" t="e">
        <f t="shared" si="20"/>
        <v>#REF!</v>
      </c>
      <c r="AO50" s="183" t="e">
        <f t="shared" si="21"/>
        <v>#REF!</v>
      </c>
      <c r="AP50" s="181" t="e">
        <f>#REF!</f>
        <v>#REF!</v>
      </c>
      <c r="AQ50" s="181" t="e">
        <f>#REF!</f>
        <v>#REF!</v>
      </c>
      <c r="AR50" s="181" t="e">
        <f>#REF!</f>
        <v>#REF!</v>
      </c>
      <c r="AS50" s="183" t="e">
        <f t="shared" si="22"/>
        <v>#REF!</v>
      </c>
      <c r="AT50" s="181" t="e">
        <f>#REF!</f>
        <v>#REF!</v>
      </c>
      <c r="AU50" s="183" t="e">
        <f t="shared" si="23"/>
        <v>#REF!</v>
      </c>
      <c r="AV50" s="181" t="e">
        <f>#REF!</f>
        <v>#REF!</v>
      </c>
      <c r="AW50" s="181" t="e">
        <f>#REF!</f>
        <v>#REF!</v>
      </c>
      <c r="AX50" s="181" t="e">
        <f>#REF!</f>
        <v>#REF!</v>
      </c>
      <c r="AY50" s="181" t="e">
        <f>#REF!</f>
        <v>#REF!</v>
      </c>
      <c r="AZ50" s="181" t="e">
        <f>#REF!</f>
        <v>#REF!</v>
      </c>
      <c r="BA50" s="181" t="e">
        <f>#REF!</f>
        <v>#REF!</v>
      </c>
      <c r="BB50" s="181" t="e">
        <f>#REF!</f>
        <v>#REF!</v>
      </c>
      <c r="BC50" s="181" t="e">
        <f>#REF!</f>
        <v>#REF!</v>
      </c>
      <c r="BD50" s="181" t="e">
        <f>#REF!</f>
        <v>#REF!</v>
      </c>
      <c r="BE50" s="181" t="e">
        <f>#REF!</f>
        <v>#REF!</v>
      </c>
      <c r="BF50" s="181" t="e">
        <f>#REF!+#REF!</f>
        <v>#REF!</v>
      </c>
      <c r="BG50" s="181" t="e">
        <f>#REF!</f>
        <v>#REF!</v>
      </c>
      <c r="BH50" s="181" t="e">
        <f>#REF!</f>
        <v>#REF!</v>
      </c>
      <c r="BI50" s="188" t="e">
        <f t="shared" si="24"/>
        <v>#REF!</v>
      </c>
      <c r="BJ50" s="183" t="e">
        <f>#REF!</f>
        <v>#REF!</v>
      </c>
      <c r="BK50" s="181"/>
      <c r="BL50" s="183" t="e">
        <f t="shared" si="30"/>
        <v>#REF!</v>
      </c>
      <c r="BM50" s="181" t="e">
        <f>#REF!</f>
        <v>#REF!</v>
      </c>
      <c r="BN50" s="181" t="e">
        <f>#REF!</f>
        <v>#REF!</v>
      </c>
      <c r="BO50" s="181" t="e">
        <f>#REF!</f>
        <v>#REF!</v>
      </c>
      <c r="BP50" s="485" t="e">
        <f t="shared" si="25"/>
        <v>#REF!</v>
      </c>
      <c r="BQ50" s="453" t="e">
        <f>#REF!</f>
        <v>#REF!</v>
      </c>
      <c r="BR50" s="453" t="e">
        <f>#REF!</f>
        <v>#REF!</v>
      </c>
      <c r="BS50" s="453" t="e">
        <f>#REF!+#REF!</f>
        <v>#REF!</v>
      </c>
      <c r="BT50" s="453" t="e">
        <f>#REF!</f>
        <v>#REF!</v>
      </c>
      <c r="BU50" s="207" t="e">
        <f t="shared" si="26"/>
        <v>#REF!</v>
      </c>
      <c r="BV50" s="453" t="e">
        <f>#REF!</f>
        <v>#REF!</v>
      </c>
      <c r="BW50" s="453" t="e">
        <f>#REF!</f>
        <v>#REF!</v>
      </c>
      <c r="BX50" s="453" t="e">
        <f>#REF!</f>
        <v>#REF!</v>
      </c>
      <c r="BY50" s="453" t="e">
        <f>#REF!+#REF!+#REF!</f>
        <v>#REF!</v>
      </c>
      <c r="BZ50" s="453" t="e">
        <f>#REF!</f>
        <v>#REF!</v>
      </c>
      <c r="CA50" s="453" t="e">
        <f>#REF!</f>
        <v>#REF!</v>
      </c>
      <c r="CB50" s="453" t="e">
        <f>#REF!</f>
        <v>#REF!</v>
      </c>
      <c r="CC50" s="453" t="e">
        <f>#REF!</f>
        <v>#REF!</v>
      </c>
      <c r="CD50" s="453" t="e">
        <f>#REF!</f>
        <v>#REF!</v>
      </c>
      <c r="CE50" s="453" t="e">
        <f>#REF!</f>
        <v>#REF!</v>
      </c>
      <c r="CF50" s="184" t="e">
        <f t="shared" si="27"/>
        <v>#REF!</v>
      </c>
      <c r="CG50" s="188" t="e">
        <f t="shared" si="28"/>
        <v>#REF!</v>
      </c>
      <c r="CH50" s="181"/>
      <c r="CI50" s="181" t="e">
        <f>#REF!</f>
        <v>#REF!</v>
      </c>
      <c r="CJ50" s="530" t="e">
        <f>#REF!</f>
        <v>#REF!</v>
      </c>
      <c r="CK50" s="188" t="e">
        <f t="shared" si="29"/>
        <v>#REF!</v>
      </c>
      <c r="CL50" s="188" t="e">
        <f>#REF!</f>
        <v>#REF!</v>
      </c>
      <c r="CM50" s="188" t="e">
        <f t="shared" si="31"/>
        <v>#REF!</v>
      </c>
    </row>
    <row r="51" spans="2:92" ht="22.5" hidden="1" customHeight="1">
      <c r="B51" s="3" t="b">
        <f t="shared" ref="B51:B58" si="32">IFERROR(AND(REPORT_OWNER&lt;&gt;"Версия организации",C51&gt;=FIRST_PERIOD_IN_LT-3),FALSE)</f>
        <v>0</v>
      </c>
      <c r="C51" s="567">
        <f>C52-1</f>
        <v>2023</v>
      </c>
      <c r="D51" s="1">
        <v>36</v>
      </c>
      <c r="AB51" s="567">
        <f>AB52-1</f>
        <v>2023</v>
      </c>
      <c r="AC51" s="444" t="s">
        <v>2354</v>
      </c>
      <c r="AD51" s="567" t="str">
        <f t="shared" si="18"/>
        <v>Факт, признанный РЭК2023</v>
      </c>
      <c r="AE51" s="570" t="e">
        <f>#REF!</f>
        <v>#REF!</v>
      </c>
      <c r="AF51" s="570" t="e">
        <f>#REF!</f>
        <v>#REF!</v>
      </c>
      <c r="AG51" s="188">
        <f t="shared" si="19"/>
        <v>0</v>
      </c>
      <c r="AH51" s="530"/>
      <c r="AI51" s="530"/>
      <c r="AJ51" s="530"/>
      <c r="AK51" s="530"/>
      <c r="AL51" s="570" t="e">
        <f>#REF!*AM51</f>
        <v>#REF!</v>
      </c>
      <c r="AM51" s="530" t="e">
        <f>#REF!</f>
        <v>#REF!</v>
      </c>
      <c r="AN51" s="569" t="e">
        <f t="shared" si="20"/>
        <v>#REF!</v>
      </c>
      <c r="AO51" s="183" t="e">
        <f t="shared" si="21"/>
        <v>#REF!</v>
      </c>
      <c r="AP51" s="181" t="e">
        <f>#REF!</f>
        <v>#REF!</v>
      </c>
      <c r="AQ51" s="181" t="e">
        <f>#REF!</f>
        <v>#REF!</v>
      </c>
      <c r="AR51" s="181" t="e">
        <f>#REF!</f>
        <v>#REF!</v>
      </c>
      <c r="AS51" s="183" t="e">
        <f t="shared" si="22"/>
        <v>#REF!</v>
      </c>
      <c r="AT51" s="181" t="e">
        <f>#REF!</f>
        <v>#REF!</v>
      </c>
      <c r="AU51" s="183" t="e">
        <f t="shared" si="23"/>
        <v>#REF!</v>
      </c>
      <c r="AV51" s="181" t="e">
        <f>#REF!</f>
        <v>#REF!</v>
      </c>
      <c r="AW51" s="181" t="e">
        <f>#REF!</f>
        <v>#REF!</v>
      </c>
      <c r="AX51" s="181" t="e">
        <f>#REF!</f>
        <v>#REF!</v>
      </c>
      <c r="AY51" s="181" t="e">
        <f>#REF!</f>
        <v>#REF!</v>
      </c>
      <c r="AZ51" s="181" t="e">
        <f>#REF!</f>
        <v>#REF!</v>
      </c>
      <c r="BA51" s="181" t="e">
        <f>#REF!</f>
        <v>#REF!</v>
      </c>
      <c r="BB51" s="181" t="e">
        <f>#REF!</f>
        <v>#REF!</v>
      </c>
      <c r="BC51" s="181" t="e">
        <f>#REF!</f>
        <v>#REF!</v>
      </c>
      <c r="BD51" s="181" t="e">
        <f>#REF!</f>
        <v>#REF!</v>
      </c>
      <c r="BE51" s="181" t="e">
        <f>#REF!</f>
        <v>#REF!</v>
      </c>
      <c r="BF51" s="181" t="e">
        <f>#REF!+#REF!</f>
        <v>#REF!</v>
      </c>
      <c r="BG51" s="181" t="e">
        <f>#REF!</f>
        <v>#REF!</v>
      </c>
      <c r="BH51" s="181" t="e">
        <f>#REF!</f>
        <v>#REF!</v>
      </c>
      <c r="BI51" s="188" t="e">
        <f t="shared" si="24"/>
        <v>#REF!</v>
      </c>
      <c r="BJ51" s="183" t="e">
        <f>#REF!</f>
        <v>#REF!</v>
      </c>
      <c r="BK51" s="181"/>
      <c r="BL51" s="183" t="e">
        <f t="shared" si="30"/>
        <v>#REF!</v>
      </c>
      <c r="BM51" s="181" t="e">
        <f>#REF!</f>
        <v>#REF!</v>
      </c>
      <c r="BN51" s="181" t="e">
        <f>#REF!</f>
        <v>#REF!</v>
      </c>
      <c r="BO51" s="181" t="e">
        <f>#REF!</f>
        <v>#REF!</v>
      </c>
      <c r="BP51" s="485" t="e">
        <f t="shared" si="25"/>
        <v>#REF!</v>
      </c>
      <c r="BQ51" s="453" t="e">
        <f>#REF!</f>
        <v>#REF!</v>
      </c>
      <c r="BR51" s="453" t="e">
        <f>#REF!</f>
        <v>#REF!</v>
      </c>
      <c r="BS51" s="453" t="e">
        <f>#REF!+#REF!</f>
        <v>#REF!</v>
      </c>
      <c r="BT51" s="453" t="e">
        <f>#REF!</f>
        <v>#REF!</v>
      </c>
      <c r="BU51" s="207" t="e">
        <f t="shared" si="26"/>
        <v>#REF!</v>
      </c>
      <c r="BV51" s="453" t="e">
        <f>#REF!</f>
        <v>#REF!</v>
      </c>
      <c r="BW51" s="453" t="e">
        <f>#REF!</f>
        <v>#REF!</v>
      </c>
      <c r="BX51" s="453" t="e">
        <f>#REF!</f>
        <v>#REF!</v>
      </c>
      <c r="BY51" s="453" t="e">
        <f>#REF!+#REF!+#REF!</f>
        <v>#REF!</v>
      </c>
      <c r="BZ51" s="453" t="e">
        <f>#REF!</f>
        <v>#REF!</v>
      </c>
      <c r="CA51" s="453" t="e">
        <f>#REF!</f>
        <v>#REF!</v>
      </c>
      <c r="CB51" s="453" t="e">
        <f>#REF!</f>
        <v>#REF!</v>
      </c>
      <c r="CC51" s="453" t="e">
        <f>#REF!</f>
        <v>#REF!</v>
      </c>
      <c r="CD51" s="453" t="e">
        <f>#REF!</f>
        <v>#REF!</v>
      </c>
      <c r="CE51" s="453" t="e">
        <f>#REF!</f>
        <v>#REF!</v>
      </c>
      <c r="CF51" s="184" t="e">
        <f t="shared" si="27"/>
        <v>#REF!</v>
      </c>
      <c r="CG51" s="188" t="e">
        <f t="shared" si="28"/>
        <v>#REF!</v>
      </c>
      <c r="CH51" s="181"/>
      <c r="CI51" s="181" t="e">
        <f>#REF!</f>
        <v>#REF!</v>
      </c>
      <c r="CJ51" s="530" t="e">
        <f>#REF!</f>
        <v>#REF!</v>
      </c>
      <c r="CK51" s="188" t="e">
        <f t="shared" si="29"/>
        <v>#REF!</v>
      </c>
      <c r="CL51" s="188" t="e">
        <f>#REF!</f>
        <v>#REF!</v>
      </c>
      <c r="CM51" s="188" t="e">
        <f t="shared" si="31"/>
        <v>#REF!</v>
      </c>
    </row>
    <row r="52" spans="2:92" ht="15.75" hidden="1" customHeight="1">
      <c r="B52" s="3" t="b">
        <f t="shared" si="32"/>
        <v>0</v>
      </c>
      <c r="C52" s="567">
        <f>C54</f>
        <v>2024</v>
      </c>
      <c r="D52" s="1">
        <v>26</v>
      </c>
      <c r="AB52" s="567">
        <f>AB54</f>
        <v>2024</v>
      </c>
      <c r="AC52" s="444" t="s">
        <v>752</v>
      </c>
      <c r="AD52" s="567" t="str">
        <f t="shared" si="18"/>
        <v>План2024</v>
      </c>
      <c r="AE52" s="571" t="e">
        <f>#REF!</f>
        <v>#REF!</v>
      </c>
      <c r="AF52" s="571" t="e">
        <f>#REF!</f>
        <v>#REF!</v>
      </c>
      <c r="AG52" s="188" t="e">
        <f t="shared" si="19"/>
        <v>#REF!</v>
      </c>
      <c r="AH52" s="183" t="e">
        <f>#REF!</f>
        <v>#REF!</v>
      </c>
      <c r="AI52" s="183" t="e">
        <f>#REF!</f>
        <v>#REF!</v>
      </c>
      <c r="AJ52" s="183" t="e">
        <f>#REF!</f>
        <v>#REF!</v>
      </c>
      <c r="AK52" s="183" t="e">
        <f>#REF!</f>
        <v>#REF!</v>
      </c>
      <c r="AL52" s="572" t="e">
        <f>#REF!*AM52</f>
        <v>#REF!</v>
      </c>
      <c r="AM52" s="183" t="e">
        <f>#REF!</f>
        <v>#REF!</v>
      </c>
      <c r="AN52" s="569" t="e">
        <f t="shared" si="20"/>
        <v>#REF!</v>
      </c>
      <c r="AO52" s="183" t="e">
        <f t="shared" si="21"/>
        <v>#REF!</v>
      </c>
      <c r="AP52" s="183" t="e">
        <f>#REF!</f>
        <v>#REF!</v>
      </c>
      <c r="AQ52" s="183" t="e">
        <f>#REF!</f>
        <v>#REF!</v>
      </c>
      <c r="AR52" s="183" t="e">
        <f>#REF!</f>
        <v>#REF!</v>
      </c>
      <c r="AS52" s="183" t="e">
        <f t="shared" si="22"/>
        <v>#REF!</v>
      </c>
      <c r="AT52" s="183" t="e">
        <f>#REF!</f>
        <v>#REF!</v>
      </c>
      <c r="AU52" s="183" t="e">
        <f t="shared" si="23"/>
        <v>#REF!</v>
      </c>
      <c r="AV52" s="183" t="e">
        <f>#REF!</f>
        <v>#REF!</v>
      </c>
      <c r="AW52" s="183" t="e">
        <f>#REF!</f>
        <v>#REF!</v>
      </c>
      <c r="AX52" s="183" t="e">
        <f>#REF!</f>
        <v>#REF!</v>
      </c>
      <c r="AY52" s="183" t="e">
        <f>#REF!</f>
        <v>#REF!</v>
      </c>
      <c r="AZ52" s="183" t="e">
        <f>#REF!</f>
        <v>#REF!</v>
      </c>
      <c r="BA52" s="183" t="e">
        <f>#REF!</f>
        <v>#REF!</v>
      </c>
      <c r="BB52" s="183" t="e">
        <f>#REF!</f>
        <v>#REF!</v>
      </c>
      <c r="BC52" s="183" t="e">
        <f>#REF!</f>
        <v>#REF!</v>
      </c>
      <c r="BD52" s="183" t="e">
        <f>#REF!</f>
        <v>#REF!</v>
      </c>
      <c r="BE52" s="183" t="e">
        <f>#REF!</f>
        <v>#REF!</v>
      </c>
      <c r="BF52" s="183" t="e">
        <f>#REF!+#REF!</f>
        <v>#REF!</v>
      </c>
      <c r="BG52" s="183" t="e">
        <f>#REF!</f>
        <v>#REF!</v>
      </c>
      <c r="BH52" s="183" t="e">
        <f>#REF!</f>
        <v>#REF!</v>
      </c>
      <c r="BI52" s="188" t="e">
        <f t="shared" si="24"/>
        <v>#REF!</v>
      </c>
      <c r="BJ52" s="183" t="e">
        <f>#REF!</f>
        <v>#REF!</v>
      </c>
      <c r="BK52" s="453"/>
      <c r="BL52" s="485" t="e">
        <f t="shared" si="30"/>
        <v>#REF!</v>
      </c>
      <c r="BM52" s="485" t="e">
        <f>#REF!</f>
        <v>#REF!</v>
      </c>
      <c r="BN52" s="183" t="e">
        <f>#REF!</f>
        <v>#REF!</v>
      </c>
      <c r="BO52" s="183" t="e">
        <f>#REF!</f>
        <v>#REF!</v>
      </c>
      <c r="BP52" s="485" t="e">
        <f t="shared" si="25"/>
        <v>#REF!</v>
      </c>
      <c r="BQ52" s="183" t="e">
        <f>#REF!</f>
        <v>#REF!</v>
      </c>
      <c r="BR52" s="183" t="e">
        <f>#REF!</f>
        <v>#REF!</v>
      </c>
      <c r="BS52" s="183" t="e">
        <f>#REF!+#REF!</f>
        <v>#REF!</v>
      </c>
      <c r="BT52" s="183" t="e">
        <f>#REF!</f>
        <v>#REF!</v>
      </c>
      <c r="BU52" s="207" t="e">
        <f t="shared" si="26"/>
        <v>#REF!</v>
      </c>
      <c r="BV52" s="183" t="e">
        <f>#REF!</f>
        <v>#REF!</v>
      </c>
      <c r="BW52" s="183" t="e">
        <f>#REF!</f>
        <v>#REF!</v>
      </c>
      <c r="BX52" s="183" t="e">
        <f>#REF!</f>
        <v>#REF!</v>
      </c>
      <c r="BY52" s="183" t="e">
        <f>#REF!+#REF!+#REF!</f>
        <v>#REF!</v>
      </c>
      <c r="BZ52" s="183" t="e">
        <f>#REF!</f>
        <v>#REF!</v>
      </c>
      <c r="CA52" s="183" t="e">
        <f>#REF!</f>
        <v>#REF!</v>
      </c>
      <c r="CB52" s="183" t="e">
        <f>#REF!</f>
        <v>#REF!</v>
      </c>
      <c r="CC52" s="183" t="e">
        <f>#REF!</f>
        <v>#REF!</v>
      </c>
      <c r="CD52" s="183" t="e">
        <f>#REF!</f>
        <v>#REF!</v>
      </c>
      <c r="CE52" s="485" t="e">
        <f>#REF!</f>
        <v>#REF!</v>
      </c>
      <c r="CF52" s="184" t="e">
        <f t="shared" si="27"/>
        <v>#REF!</v>
      </c>
      <c r="CG52" s="188" t="e">
        <f t="shared" si="28"/>
        <v>#REF!</v>
      </c>
      <c r="CH52" s="181"/>
      <c r="CI52" s="183" t="e">
        <f>#REF!</f>
        <v>#REF!</v>
      </c>
      <c r="CJ52" s="530" t="e">
        <f>#REF!</f>
        <v>#REF!</v>
      </c>
      <c r="CK52" s="188" t="e">
        <f t="shared" si="29"/>
        <v>#REF!</v>
      </c>
      <c r="CL52" s="183" t="e">
        <f>#REF!</f>
        <v>#REF!</v>
      </c>
      <c r="CM52" s="188" t="e">
        <f t="shared" si="31"/>
        <v>#REF!</v>
      </c>
    </row>
    <row r="53" spans="2:92" ht="15.75" hidden="1" customHeight="1">
      <c r="B53" s="3" t="b">
        <f t="shared" si="32"/>
        <v>0</v>
      </c>
      <c r="C53" s="567">
        <f>C54</f>
        <v>2024</v>
      </c>
      <c r="D53" s="1">
        <v>26</v>
      </c>
      <c r="AB53" s="567">
        <f>AB54</f>
        <v>2024</v>
      </c>
      <c r="AC53" s="444" t="s">
        <v>2352</v>
      </c>
      <c r="AD53" s="567" t="str">
        <f t="shared" si="18"/>
        <v>Факт ТСО2024</v>
      </c>
      <c r="AE53" s="571" t="e">
        <f>#REF!</f>
        <v>#REF!</v>
      </c>
      <c r="AF53" s="571" t="e">
        <f>#REF!</f>
        <v>#REF!</v>
      </c>
      <c r="AG53" s="188" t="e">
        <f t="shared" si="19"/>
        <v>#REF!</v>
      </c>
      <c r="AH53" s="183" t="e">
        <f>#REF!</f>
        <v>#REF!</v>
      </c>
      <c r="AI53" s="183" t="e">
        <f>#REF!</f>
        <v>#REF!</v>
      </c>
      <c r="AJ53" s="183" t="e">
        <f>#REF!</f>
        <v>#REF!</v>
      </c>
      <c r="AK53" s="183" t="e">
        <f>#REF!</f>
        <v>#REF!</v>
      </c>
      <c r="AL53" s="572" t="e">
        <f>#REF!*AM53</f>
        <v>#REF!</v>
      </c>
      <c r="AM53" s="183" t="e">
        <f>#REF!</f>
        <v>#REF!</v>
      </c>
      <c r="AN53" s="569" t="e">
        <f t="shared" si="20"/>
        <v>#REF!</v>
      </c>
      <c r="AO53" s="183" t="e">
        <f t="shared" si="21"/>
        <v>#REF!</v>
      </c>
      <c r="AP53" s="183" t="e">
        <f>#REF!</f>
        <v>#REF!</v>
      </c>
      <c r="AQ53" s="183" t="e">
        <f>#REF!</f>
        <v>#REF!</v>
      </c>
      <c r="AR53" s="183" t="e">
        <f>#REF!</f>
        <v>#REF!</v>
      </c>
      <c r="AS53" s="183" t="e">
        <f t="shared" si="22"/>
        <v>#REF!</v>
      </c>
      <c r="AT53" s="183" t="e">
        <f>#REF!</f>
        <v>#REF!</v>
      </c>
      <c r="AU53" s="183" t="e">
        <f t="shared" si="23"/>
        <v>#REF!</v>
      </c>
      <c r="AV53" s="183" t="e">
        <f>#REF!</f>
        <v>#REF!</v>
      </c>
      <c r="AW53" s="183" t="e">
        <f>#REF!</f>
        <v>#REF!</v>
      </c>
      <c r="AX53" s="183" t="e">
        <f>#REF!</f>
        <v>#REF!</v>
      </c>
      <c r="AY53" s="183" t="e">
        <f>#REF!</f>
        <v>#REF!</v>
      </c>
      <c r="AZ53" s="183" t="e">
        <f>#REF!</f>
        <v>#REF!</v>
      </c>
      <c r="BA53" s="183" t="e">
        <f>#REF!</f>
        <v>#REF!</v>
      </c>
      <c r="BB53" s="183" t="e">
        <f>#REF!</f>
        <v>#REF!</v>
      </c>
      <c r="BC53" s="183" t="e">
        <f>#REF!</f>
        <v>#REF!</v>
      </c>
      <c r="BD53" s="183" t="e">
        <f>#REF!</f>
        <v>#REF!</v>
      </c>
      <c r="BE53" s="183" t="e">
        <f>#REF!</f>
        <v>#REF!</v>
      </c>
      <c r="BF53" s="183" t="e">
        <f>#REF!+#REF!</f>
        <v>#REF!</v>
      </c>
      <c r="BG53" s="183" t="e">
        <f>#REF!</f>
        <v>#REF!</v>
      </c>
      <c r="BH53" s="183" t="e">
        <f>#REF!</f>
        <v>#REF!</v>
      </c>
      <c r="BI53" s="188" t="e">
        <f t="shared" si="24"/>
        <v>#REF!</v>
      </c>
      <c r="BJ53" s="183" t="e">
        <f>#REF!</f>
        <v>#REF!</v>
      </c>
      <c r="BK53" s="181"/>
      <c r="BL53" s="183" t="e">
        <f t="shared" si="30"/>
        <v>#REF!</v>
      </c>
      <c r="BM53" s="485" t="e">
        <f>#REF!</f>
        <v>#REF!</v>
      </c>
      <c r="BN53" s="183" t="e">
        <f>#REF!</f>
        <v>#REF!</v>
      </c>
      <c r="BO53" s="183" t="e">
        <f>#REF!</f>
        <v>#REF!</v>
      </c>
      <c r="BP53" s="485" t="e">
        <f t="shared" si="25"/>
        <v>#REF!</v>
      </c>
      <c r="BQ53" s="183" t="e">
        <f>#REF!</f>
        <v>#REF!</v>
      </c>
      <c r="BR53" s="183" t="e">
        <f>#REF!</f>
        <v>#REF!</v>
      </c>
      <c r="BS53" s="183" t="e">
        <f>#REF!+#REF!</f>
        <v>#REF!</v>
      </c>
      <c r="BT53" s="183" t="e">
        <f>#REF!</f>
        <v>#REF!</v>
      </c>
      <c r="BU53" s="207" t="e">
        <f t="shared" si="26"/>
        <v>#REF!</v>
      </c>
      <c r="BV53" s="183" t="e">
        <f>#REF!</f>
        <v>#REF!</v>
      </c>
      <c r="BW53" s="183" t="e">
        <f>#REF!</f>
        <v>#REF!</v>
      </c>
      <c r="BX53" s="183" t="e">
        <f>#REF!</f>
        <v>#REF!</v>
      </c>
      <c r="BY53" s="183" t="e">
        <f>#REF!+#REF!+#REF!</f>
        <v>#REF!</v>
      </c>
      <c r="BZ53" s="183" t="e">
        <f>#REF!</f>
        <v>#REF!</v>
      </c>
      <c r="CA53" s="183" t="e">
        <f>#REF!</f>
        <v>#REF!</v>
      </c>
      <c r="CB53" s="183" t="e">
        <f>#REF!</f>
        <v>#REF!</v>
      </c>
      <c r="CC53" s="183" t="e">
        <f>#REF!</f>
        <v>#REF!</v>
      </c>
      <c r="CD53" s="183" t="e">
        <f>#REF!</f>
        <v>#REF!</v>
      </c>
      <c r="CE53" s="485" t="e">
        <f>#REF!</f>
        <v>#REF!</v>
      </c>
      <c r="CF53" s="184" t="e">
        <f t="shared" si="27"/>
        <v>#REF!</v>
      </c>
      <c r="CG53" s="188" t="e">
        <f t="shared" si="28"/>
        <v>#REF!</v>
      </c>
      <c r="CH53" s="181"/>
      <c r="CI53" s="183" t="e">
        <f>#REF!</f>
        <v>#REF!</v>
      </c>
      <c r="CJ53" s="530" t="e">
        <f>#REF!</f>
        <v>#REF!</v>
      </c>
      <c r="CK53" s="188" t="e">
        <f t="shared" si="29"/>
        <v>#REF!</v>
      </c>
      <c r="CL53" s="183" t="e">
        <f>#REF!</f>
        <v>#REF!</v>
      </c>
      <c r="CM53" s="188" t="e">
        <f t="shared" si="31"/>
        <v>#REF!</v>
      </c>
    </row>
    <row r="54" spans="2:92" ht="23.25" hidden="1" customHeight="1">
      <c r="B54" s="3" t="b">
        <f t="shared" si="32"/>
        <v>0</v>
      </c>
      <c r="C54" s="567">
        <f>C55-1</f>
        <v>2024</v>
      </c>
      <c r="D54" s="1">
        <v>37</v>
      </c>
      <c r="AB54" s="567">
        <f>AB55-1</f>
        <v>2024</v>
      </c>
      <c r="AC54" s="444" t="s">
        <v>2354</v>
      </c>
      <c r="AD54" s="567" t="str">
        <f t="shared" si="18"/>
        <v>Факт, признанный РЭК2024</v>
      </c>
      <c r="AE54" s="571" t="e">
        <f>#REF!</f>
        <v>#REF!</v>
      </c>
      <c r="AF54" s="571" t="e">
        <f>#REF!</f>
        <v>#REF!</v>
      </c>
      <c r="AG54" s="188" t="e">
        <f t="shared" si="19"/>
        <v>#REF!</v>
      </c>
      <c r="AH54" s="183" t="e">
        <f>#REF!</f>
        <v>#REF!</v>
      </c>
      <c r="AI54" s="183" t="e">
        <f>#REF!</f>
        <v>#REF!</v>
      </c>
      <c r="AJ54" s="183" t="e">
        <f>#REF!</f>
        <v>#REF!</v>
      </c>
      <c r="AK54" s="183" t="e">
        <f>#REF!</f>
        <v>#REF!</v>
      </c>
      <c r="AL54" s="572" t="e">
        <f>#REF!*AM54</f>
        <v>#REF!</v>
      </c>
      <c r="AM54" s="183" t="e">
        <f>#REF!</f>
        <v>#REF!</v>
      </c>
      <c r="AN54" s="569" t="e">
        <f t="shared" si="20"/>
        <v>#REF!</v>
      </c>
      <c r="AO54" s="183" t="e">
        <f t="shared" si="21"/>
        <v>#REF!</v>
      </c>
      <c r="AP54" s="183" t="e">
        <f>#REF!</f>
        <v>#REF!</v>
      </c>
      <c r="AQ54" s="183" t="e">
        <f>#REF!</f>
        <v>#REF!</v>
      </c>
      <c r="AR54" s="183" t="e">
        <f>#REF!</f>
        <v>#REF!</v>
      </c>
      <c r="AS54" s="183" t="e">
        <f t="shared" si="22"/>
        <v>#REF!</v>
      </c>
      <c r="AT54" s="183" t="e">
        <f>#REF!</f>
        <v>#REF!</v>
      </c>
      <c r="AU54" s="183" t="e">
        <f t="shared" si="23"/>
        <v>#REF!</v>
      </c>
      <c r="AV54" s="183" t="e">
        <f>#REF!</f>
        <v>#REF!</v>
      </c>
      <c r="AW54" s="183" t="e">
        <f>#REF!</f>
        <v>#REF!</v>
      </c>
      <c r="AX54" s="183" t="e">
        <f>#REF!</f>
        <v>#REF!</v>
      </c>
      <c r="AY54" s="183" t="e">
        <f>#REF!</f>
        <v>#REF!</v>
      </c>
      <c r="AZ54" s="183" t="e">
        <f>#REF!</f>
        <v>#REF!</v>
      </c>
      <c r="BA54" s="183" t="e">
        <f>#REF!</f>
        <v>#REF!</v>
      </c>
      <c r="BB54" s="183" t="e">
        <f>#REF!</f>
        <v>#REF!</v>
      </c>
      <c r="BC54" s="183" t="e">
        <f>#REF!</f>
        <v>#REF!</v>
      </c>
      <c r="BD54" s="183" t="e">
        <f>#REF!</f>
        <v>#REF!</v>
      </c>
      <c r="BE54" s="183" t="e">
        <f>#REF!</f>
        <v>#REF!</v>
      </c>
      <c r="BF54" s="183" t="e">
        <f>#REF!+#REF!</f>
        <v>#REF!</v>
      </c>
      <c r="BG54" s="183" t="e">
        <f>#REF!</f>
        <v>#REF!</v>
      </c>
      <c r="BH54" s="183" t="e">
        <f>#REF!</f>
        <v>#REF!</v>
      </c>
      <c r="BI54" s="188" t="e">
        <f t="shared" si="24"/>
        <v>#REF!</v>
      </c>
      <c r="BJ54" s="183" t="e">
        <f>#REF!</f>
        <v>#REF!</v>
      </c>
      <c r="BK54" s="181"/>
      <c r="BL54" s="183" t="e">
        <f t="shared" si="30"/>
        <v>#REF!</v>
      </c>
      <c r="BM54" s="485" t="e">
        <f>#REF!</f>
        <v>#REF!</v>
      </c>
      <c r="BN54" s="183" t="e">
        <f>#REF!</f>
        <v>#REF!</v>
      </c>
      <c r="BO54" s="183" t="e">
        <f>#REF!</f>
        <v>#REF!</v>
      </c>
      <c r="BP54" s="485" t="e">
        <f t="shared" si="25"/>
        <v>#REF!</v>
      </c>
      <c r="BQ54" s="183" t="e">
        <f>#REF!</f>
        <v>#REF!</v>
      </c>
      <c r="BR54" s="183" t="e">
        <f>#REF!</f>
        <v>#REF!</v>
      </c>
      <c r="BS54" s="183" t="e">
        <f>#REF!+#REF!</f>
        <v>#REF!</v>
      </c>
      <c r="BT54" s="183" t="e">
        <f>#REF!</f>
        <v>#REF!</v>
      </c>
      <c r="BU54" s="207" t="e">
        <f t="shared" si="26"/>
        <v>#REF!</v>
      </c>
      <c r="BV54" s="183" t="e">
        <f>#REF!</f>
        <v>#REF!</v>
      </c>
      <c r="BW54" s="183" t="e">
        <f>#REF!</f>
        <v>#REF!</v>
      </c>
      <c r="BX54" s="183" t="e">
        <f>#REF!</f>
        <v>#REF!</v>
      </c>
      <c r="BY54" s="183" t="e">
        <f>#REF!+#REF!+#REF!</f>
        <v>#REF!</v>
      </c>
      <c r="BZ54" s="183" t="e">
        <f>#REF!</f>
        <v>#REF!</v>
      </c>
      <c r="CA54" s="183" t="e">
        <f>#REF!</f>
        <v>#REF!</v>
      </c>
      <c r="CB54" s="183" t="e">
        <f>#REF!</f>
        <v>#REF!</v>
      </c>
      <c r="CC54" s="183" t="e">
        <f>#REF!</f>
        <v>#REF!</v>
      </c>
      <c r="CD54" s="183" t="e">
        <f>#REF!</f>
        <v>#REF!</v>
      </c>
      <c r="CE54" s="485" t="e">
        <f>#REF!</f>
        <v>#REF!</v>
      </c>
      <c r="CF54" s="184" t="e">
        <f t="shared" si="27"/>
        <v>#REF!</v>
      </c>
      <c r="CG54" s="188" t="e">
        <f t="shared" si="28"/>
        <v>#REF!</v>
      </c>
      <c r="CH54" s="181"/>
      <c r="CI54" s="183" t="e">
        <f>#REF!</f>
        <v>#REF!</v>
      </c>
      <c r="CJ54" s="530" t="e">
        <f>#REF!</f>
        <v>#REF!</v>
      </c>
      <c r="CK54" s="188" t="e">
        <f t="shared" si="29"/>
        <v>#REF!</v>
      </c>
      <c r="CL54" s="183" t="e">
        <f>#REF!</f>
        <v>#REF!</v>
      </c>
      <c r="CM54" s="188" t="e">
        <f t="shared" si="31"/>
        <v>#REF!</v>
      </c>
    </row>
    <row r="55" spans="2:92" ht="15.75" hidden="1" customHeight="1">
      <c r="B55" s="3" t="b">
        <f t="shared" si="32"/>
        <v>0</v>
      </c>
      <c r="C55" s="567">
        <f>C56-1</f>
        <v>2025</v>
      </c>
      <c r="D55" s="1">
        <v>26</v>
      </c>
      <c r="AB55" s="567">
        <f>AB56-1</f>
        <v>2025</v>
      </c>
      <c r="AC55" s="444" t="s">
        <v>752</v>
      </c>
      <c r="AD55" s="567" t="str">
        <f t="shared" si="18"/>
        <v>План2025</v>
      </c>
      <c r="AE55" s="571" t="e">
        <f>#REF!</f>
        <v>#REF!</v>
      </c>
      <c r="AF55" s="571" t="e">
        <f>#REF!</f>
        <v>#REF!</v>
      </c>
      <c r="AG55" s="188" t="e">
        <f t="shared" si="19"/>
        <v>#REF!</v>
      </c>
      <c r="AH55" s="183" t="e">
        <f>#REF!</f>
        <v>#REF!</v>
      </c>
      <c r="AI55" s="183" t="e">
        <f>#REF!</f>
        <v>#REF!</v>
      </c>
      <c r="AJ55" s="183" t="e">
        <f>#REF!</f>
        <v>#REF!</v>
      </c>
      <c r="AK55" s="183" t="e">
        <f>#REF!</f>
        <v>#REF!</v>
      </c>
      <c r="AL55" s="572" t="e">
        <f>#REF!*AM55</f>
        <v>#REF!</v>
      </c>
      <c r="AM55" s="183" t="e">
        <f>#REF!</f>
        <v>#REF!</v>
      </c>
      <c r="AN55" s="569" t="e">
        <f t="shared" si="20"/>
        <v>#REF!</v>
      </c>
      <c r="AO55" s="183" t="e">
        <f t="shared" si="21"/>
        <v>#REF!</v>
      </c>
      <c r="AP55" s="183" t="e">
        <f>#REF!</f>
        <v>#REF!</v>
      </c>
      <c r="AQ55" s="183" t="e">
        <f>#REF!</f>
        <v>#REF!</v>
      </c>
      <c r="AR55" s="183" t="e">
        <f>#REF!</f>
        <v>#REF!</v>
      </c>
      <c r="AS55" s="183" t="e">
        <f t="shared" si="22"/>
        <v>#REF!</v>
      </c>
      <c r="AT55" s="183" t="e">
        <f>#REF!</f>
        <v>#REF!</v>
      </c>
      <c r="AU55" s="183" t="e">
        <f t="shared" si="23"/>
        <v>#REF!</v>
      </c>
      <c r="AV55" s="183" t="e">
        <f>#REF!</f>
        <v>#REF!</v>
      </c>
      <c r="AW55" s="183" t="e">
        <f>#REF!</f>
        <v>#REF!</v>
      </c>
      <c r="AX55" s="183" t="e">
        <f>#REF!</f>
        <v>#REF!</v>
      </c>
      <c r="AY55" s="183" t="e">
        <f>#REF!</f>
        <v>#REF!</v>
      </c>
      <c r="AZ55" s="183" t="e">
        <f>#REF!</f>
        <v>#REF!</v>
      </c>
      <c r="BA55" s="183" t="e">
        <f>#REF!</f>
        <v>#REF!</v>
      </c>
      <c r="BB55" s="183" t="e">
        <f>#REF!</f>
        <v>#REF!</v>
      </c>
      <c r="BC55" s="183" t="e">
        <f>#REF!</f>
        <v>#REF!</v>
      </c>
      <c r="BD55" s="183" t="e">
        <f>#REF!</f>
        <v>#REF!</v>
      </c>
      <c r="BE55" s="183" t="e">
        <f>#REF!</f>
        <v>#REF!</v>
      </c>
      <c r="BF55" s="183" t="e">
        <f>#REF!+#REF!</f>
        <v>#REF!</v>
      </c>
      <c r="BG55" s="183" t="e">
        <f>#REF!</f>
        <v>#REF!</v>
      </c>
      <c r="BH55" s="183" t="e">
        <f>#REF!</f>
        <v>#REF!</v>
      </c>
      <c r="BI55" s="188" t="e">
        <f t="shared" si="24"/>
        <v>#REF!</v>
      </c>
      <c r="BJ55" s="183" t="e">
        <f>#REF!</f>
        <v>#REF!</v>
      </c>
      <c r="BK55" s="181"/>
      <c r="BL55" s="183" t="e">
        <f t="shared" si="30"/>
        <v>#REF!</v>
      </c>
      <c r="BM55" s="485" t="e">
        <f>#REF!</f>
        <v>#REF!</v>
      </c>
      <c r="BN55" s="183" t="e">
        <f>#REF!</f>
        <v>#REF!</v>
      </c>
      <c r="BO55" s="183" t="e">
        <f>#REF!</f>
        <v>#REF!</v>
      </c>
      <c r="BP55" s="485" t="e">
        <f t="shared" si="25"/>
        <v>#REF!</v>
      </c>
      <c r="BQ55" s="183" t="e">
        <f>#REF!</f>
        <v>#REF!</v>
      </c>
      <c r="BR55" s="183" t="e">
        <f>#REF!</f>
        <v>#REF!</v>
      </c>
      <c r="BS55" s="183" t="e">
        <f>#REF!+#REF!</f>
        <v>#REF!</v>
      </c>
      <c r="BT55" s="183" t="e">
        <f>#REF!</f>
        <v>#REF!</v>
      </c>
      <c r="BU55" s="207" t="e">
        <f t="shared" si="26"/>
        <v>#REF!</v>
      </c>
      <c r="BV55" s="183" t="e">
        <f>#REF!</f>
        <v>#REF!</v>
      </c>
      <c r="BW55" s="183" t="e">
        <f>#REF!</f>
        <v>#REF!</v>
      </c>
      <c r="BX55" s="183" t="e">
        <f>#REF!</f>
        <v>#REF!</v>
      </c>
      <c r="BY55" s="183" t="e">
        <f>#REF!+#REF!+#REF!</f>
        <v>#REF!</v>
      </c>
      <c r="BZ55" s="183" t="e">
        <f>#REF!</f>
        <v>#REF!</v>
      </c>
      <c r="CA55" s="183" t="e">
        <f>#REF!</f>
        <v>#REF!</v>
      </c>
      <c r="CB55" s="183" t="e">
        <f>#REF!</f>
        <v>#REF!</v>
      </c>
      <c r="CC55" s="183" t="e">
        <f>#REF!</f>
        <v>#REF!</v>
      </c>
      <c r="CD55" s="183" t="e">
        <f>#REF!</f>
        <v>#REF!</v>
      </c>
      <c r="CE55" s="485" t="e">
        <f>#REF!</f>
        <v>#REF!</v>
      </c>
      <c r="CF55" s="184" t="e">
        <f t="shared" si="27"/>
        <v>#REF!</v>
      </c>
      <c r="CG55" s="188" t="e">
        <f t="shared" si="28"/>
        <v>#REF!</v>
      </c>
      <c r="CH55" s="181"/>
      <c r="CI55" s="183" t="e">
        <f>#REF!</f>
        <v>#REF!</v>
      </c>
      <c r="CJ55" s="530" t="e">
        <f>#REF!</f>
        <v>#REF!</v>
      </c>
      <c r="CK55" s="188" t="e">
        <f t="shared" si="29"/>
        <v>#REF!</v>
      </c>
      <c r="CL55" s="183" t="e">
        <f>#REF!</f>
        <v>#REF!</v>
      </c>
      <c r="CM55" s="188" t="e">
        <f t="shared" si="31"/>
        <v>#REF!</v>
      </c>
    </row>
    <row r="56" spans="2:92" ht="15.75" hidden="1" customHeight="1">
      <c r="B56" s="3" t="b">
        <f t="shared" si="32"/>
        <v>0</v>
      </c>
      <c r="C56" s="567">
        <f>PRD</f>
        <v>2026</v>
      </c>
      <c r="D56" s="1">
        <v>26</v>
      </c>
      <c r="AB56" s="567">
        <f>PRD</f>
        <v>2026</v>
      </c>
      <c r="AC56" s="444" t="s">
        <v>752</v>
      </c>
      <c r="AD56" s="567" t="str">
        <f t="shared" si="18"/>
        <v>План2026</v>
      </c>
      <c r="AE56" s="571" t="e">
        <f>#REF!</f>
        <v>#REF!</v>
      </c>
      <c r="AF56" s="571" t="e">
        <f>#REF!</f>
        <v>#REF!</v>
      </c>
      <c r="AG56" s="188" t="e">
        <f t="shared" si="19"/>
        <v>#REF!</v>
      </c>
      <c r="AH56" s="183" t="e">
        <f>#REF!</f>
        <v>#REF!</v>
      </c>
      <c r="AI56" s="183" t="e">
        <f>#REF!</f>
        <v>#REF!</v>
      </c>
      <c r="AJ56" s="183" t="e">
        <f>#REF!</f>
        <v>#REF!</v>
      </c>
      <c r="AK56" s="183" t="e">
        <f>#REF!</f>
        <v>#REF!</v>
      </c>
      <c r="AL56" s="572" t="e">
        <f>#REF!*AM56</f>
        <v>#REF!</v>
      </c>
      <c r="AM56" s="183" t="e">
        <f>#REF!</f>
        <v>#REF!</v>
      </c>
      <c r="AN56" s="569" t="e">
        <f t="shared" si="20"/>
        <v>#REF!</v>
      </c>
      <c r="AO56" s="183" t="e">
        <f t="shared" si="21"/>
        <v>#REF!</v>
      </c>
      <c r="AP56" s="183" t="e">
        <f>AP55*(1+'НВВ РСК'!$AJ$29)</f>
        <v>#REF!</v>
      </c>
      <c r="AQ56" s="183" t="e">
        <f>AQ55*(1+'НВВ РСК'!$AJ$29)</f>
        <v>#REF!</v>
      </c>
      <c r="AR56" s="183" t="e">
        <f>AR55*(1+'НВВ РСК'!$AJ$29)</f>
        <v>#REF!</v>
      </c>
      <c r="AS56" s="183" t="e">
        <f t="shared" si="22"/>
        <v>#REF!</v>
      </c>
      <c r="AT56" s="183" t="e">
        <f>AT55*(1+'НВВ РСК'!$AJ$29)</f>
        <v>#REF!</v>
      </c>
      <c r="AU56" s="183" t="e">
        <f t="shared" si="23"/>
        <v>#REF!</v>
      </c>
      <c r="AV56" s="183" t="e">
        <f>AV55*(1+'НВВ РСК'!$AJ$29)</f>
        <v>#REF!</v>
      </c>
      <c r="AW56" s="183" t="e">
        <f>AW55*(1+'НВВ РСК'!$AJ$29)</f>
        <v>#REF!</v>
      </c>
      <c r="AX56" s="183" t="e">
        <f>AX55*(1+'НВВ РСК'!$AJ$29)</f>
        <v>#REF!</v>
      </c>
      <c r="AY56" s="183" t="e">
        <f>AY55*(1+'НВВ РСК'!$AJ$29)</f>
        <v>#REF!</v>
      </c>
      <c r="AZ56" s="183" t="e">
        <f>AZ55*(1+'НВВ РСК'!$AJ$29)</f>
        <v>#REF!</v>
      </c>
      <c r="BA56" s="183" t="e">
        <f>BA55*(1+'НВВ РСК'!$AJ$29)</f>
        <v>#REF!</v>
      </c>
      <c r="BB56" s="183" t="e">
        <f>BB55*(1+'НВВ РСК'!$AJ$29)</f>
        <v>#REF!</v>
      </c>
      <c r="BC56" s="183" t="e">
        <f>BC55*(1+'НВВ РСК'!$AJ$29)</f>
        <v>#REF!</v>
      </c>
      <c r="BD56" s="183" t="e">
        <f>BD55*(1+'НВВ РСК'!$AJ$29)</f>
        <v>#REF!</v>
      </c>
      <c r="BE56" s="183" t="e">
        <f>BE55*(1+'НВВ РСК'!$AJ$29)</f>
        <v>#REF!</v>
      </c>
      <c r="BF56" s="183" t="e">
        <f>BF55*(1+'НВВ РСК'!$AJ$29)</f>
        <v>#REF!</v>
      </c>
      <c r="BG56" s="183" t="e">
        <f>BG55*(1+'НВВ РСК'!$AJ$29)</f>
        <v>#REF!</v>
      </c>
      <c r="BH56" s="183" t="e">
        <f>BH55*(1+'НВВ РСК'!$AJ$29)</f>
        <v>#REF!</v>
      </c>
      <c r="BI56" s="188" t="e">
        <f t="shared" si="24"/>
        <v>#REF!</v>
      </c>
      <c r="BJ56" s="183" t="e">
        <f>BJ55*(1+'НВВ РСК'!$AJ$29)</f>
        <v>#REF!</v>
      </c>
      <c r="BK56" s="181"/>
      <c r="BL56" s="183" t="e">
        <f t="shared" si="30"/>
        <v>#REF!</v>
      </c>
      <c r="BM56" s="485" t="e">
        <f>BM55*(1+'НВВ РСК'!$AJ$29)</f>
        <v>#REF!</v>
      </c>
      <c r="BN56" s="183" t="e">
        <f>BN55*(1+'НВВ РСК'!$AJ$29)</f>
        <v>#REF!</v>
      </c>
      <c r="BO56" s="183" t="e">
        <f>BO55*(1+'НВВ РСК'!$AJ$29)</f>
        <v>#REF!</v>
      </c>
      <c r="BP56" s="485" t="e">
        <f t="shared" si="25"/>
        <v>#REF!</v>
      </c>
      <c r="BQ56" s="183" t="e">
        <f>BQ55*(1+'НВВ РСК'!$AJ$29)</f>
        <v>#REF!</v>
      </c>
      <c r="BR56" s="183" t="e">
        <f>BR55*(1+'НВВ РСК'!$AJ$29)</f>
        <v>#REF!</v>
      </c>
      <c r="BS56" s="183" t="e">
        <f>BS55*(1+'НВВ РСК'!$AJ$29)</f>
        <v>#REF!</v>
      </c>
      <c r="BT56" s="183" t="e">
        <f>BT55*(1+'НВВ РСК'!$AJ$29)</f>
        <v>#REF!</v>
      </c>
      <c r="BU56" s="207" t="e">
        <f t="shared" si="26"/>
        <v>#REF!</v>
      </c>
      <c r="BV56" s="183" t="e">
        <f>BV55*(1+'НВВ РСК'!$AJ$29)</f>
        <v>#REF!</v>
      </c>
      <c r="BW56" s="183" t="e">
        <f>BW55*(1+'НВВ РСК'!$AJ$29)</f>
        <v>#REF!</v>
      </c>
      <c r="BX56" s="183" t="e">
        <f>BX55*(1+'НВВ РСК'!$AJ$29)</f>
        <v>#REF!</v>
      </c>
      <c r="BY56" s="183" t="e">
        <f>BY55*(1+'НВВ РСК'!$AJ$29)</f>
        <v>#REF!</v>
      </c>
      <c r="BZ56" s="183" t="e">
        <f>BZ55*(1+'НВВ РСК'!$AJ$29)</f>
        <v>#REF!</v>
      </c>
      <c r="CA56" s="183" t="e">
        <f>CA55*(1+'НВВ РСК'!$AJ$29)</f>
        <v>#REF!</v>
      </c>
      <c r="CB56" s="183" t="e">
        <f>CB55*(1+'НВВ РСК'!$AJ$29)</f>
        <v>#REF!</v>
      </c>
      <c r="CC56" s="183" t="e">
        <f>CC55*(1+'НВВ РСК'!$AJ$29)</f>
        <v>#REF!</v>
      </c>
      <c r="CD56" s="183" t="e">
        <f>CD55*(1+'НВВ РСК'!$AJ$29)</f>
        <v>#REF!</v>
      </c>
      <c r="CE56" s="485" t="e">
        <f>CE55*(1+'НВВ РСК'!$AJ$29)</f>
        <v>#REF!</v>
      </c>
      <c r="CF56" s="184" t="e">
        <f t="shared" si="27"/>
        <v>#REF!</v>
      </c>
      <c r="CG56" s="188" t="e">
        <f t="shared" si="28"/>
        <v>#REF!</v>
      </c>
      <c r="CH56" s="181"/>
      <c r="CI56" s="183" t="e">
        <f>CI55*(1+'НВВ РСК'!$AJ$29)</f>
        <v>#REF!</v>
      </c>
      <c r="CJ56" s="188" t="e">
        <f>CJ55*(1+'НВВ РСК'!$AJ$29)</f>
        <v>#REF!</v>
      </c>
      <c r="CK56" s="188" t="e">
        <f t="shared" si="29"/>
        <v>#REF!</v>
      </c>
      <c r="CL56" s="183" t="e">
        <f>#REF!</f>
        <v>#REF!</v>
      </c>
      <c r="CM56" s="188" t="e">
        <f t="shared" si="31"/>
        <v>#REF!</v>
      </c>
    </row>
    <row r="57" spans="2:92" ht="15.75" hidden="1" customHeight="1">
      <c r="B57" s="3" t="b">
        <f t="shared" si="32"/>
        <v>0</v>
      </c>
      <c r="C57" s="567">
        <f>C56+1</f>
        <v>2027</v>
      </c>
      <c r="D57" s="1">
        <v>26</v>
      </c>
      <c r="AB57" s="567">
        <f>AB56+1</f>
        <v>2027</v>
      </c>
      <c r="AC57" s="444" t="s">
        <v>752</v>
      </c>
      <c r="AD57" s="567" t="str">
        <f t="shared" si="18"/>
        <v>План2027</v>
      </c>
      <c r="AE57" s="571" t="e">
        <f>#REF!</f>
        <v>#REF!</v>
      </c>
      <c r="AF57" s="571" t="e">
        <f>#REF!</f>
        <v>#REF!</v>
      </c>
      <c r="AG57" s="188" t="e">
        <f t="shared" si="19"/>
        <v>#REF!</v>
      </c>
      <c r="AH57" s="183" t="e">
        <f t="shared" ref="AH57:AK60" si="33">AH56</f>
        <v>#REF!</v>
      </c>
      <c r="AI57" s="183" t="e">
        <f t="shared" si="33"/>
        <v>#REF!</v>
      </c>
      <c r="AJ57" s="183" t="e">
        <f t="shared" si="33"/>
        <v>#REF!</v>
      </c>
      <c r="AK57" s="183" t="e">
        <f t="shared" si="33"/>
        <v>#REF!</v>
      </c>
      <c r="AL57" s="572" t="e">
        <f>#REF!*AM57</f>
        <v>#REF!</v>
      </c>
      <c r="AM57" s="183" t="e">
        <f>#REF!</f>
        <v>#REF!</v>
      </c>
      <c r="AN57" s="569" t="e">
        <f t="shared" si="20"/>
        <v>#REF!</v>
      </c>
      <c r="AO57" s="183" t="e">
        <f t="shared" si="21"/>
        <v>#REF!</v>
      </c>
      <c r="AP57" s="183" t="e">
        <f t="shared" ref="AP57:AR60" si="34">AP56*$AN57</f>
        <v>#REF!</v>
      </c>
      <c r="AQ57" s="183" t="e">
        <f t="shared" si="34"/>
        <v>#REF!</v>
      </c>
      <c r="AR57" s="183" t="e">
        <f t="shared" si="34"/>
        <v>#REF!</v>
      </c>
      <c r="AS57" s="183" t="e">
        <f t="shared" si="22"/>
        <v>#REF!</v>
      </c>
      <c r="AT57" s="183" t="e">
        <f>AT56*$AN57</f>
        <v>#REF!</v>
      </c>
      <c r="AU57" s="183" t="e">
        <f t="shared" si="23"/>
        <v>#REF!</v>
      </c>
      <c r="AV57" s="183" t="e">
        <f t="shared" ref="AV57:BH60" si="35">AV56*$AN57</f>
        <v>#REF!</v>
      </c>
      <c r="AW57" s="183" t="e">
        <f t="shared" si="35"/>
        <v>#REF!</v>
      </c>
      <c r="AX57" s="183" t="e">
        <f t="shared" si="35"/>
        <v>#REF!</v>
      </c>
      <c r="AY57" s="183" t="e">
        <f t="shared" si="35"/>
        <v>#REF!</v>
      </c>
      <c r="AZ57" s="183" t="e">
        <f t="shared" si="35"/>
        <v>#REF!</v>
      </c>
      <c r="BA57" s="183" t="e">
        <f t="shared" si="35"/>
        <v>#REF!</v>
      </c>
      <c r="BB57" s="183" t="e">
        <f t="shared" si="35"/>
        <v>#REF!</v>
      </c>
      <c r="BC57" s="183" t="e">
        <f t="shared" si="35"/>
        <v>#REF!</v>
      </c>
      <c r="BD57" s="183" t="e">
        <f t="shared" si="35"/>
        <v>#REF!</v>
      </c>
      <c r="BE57" s="183" t="e">
        <f t="shared" si="35"/>
        <v>#REF!</v>
      </c>
      <c r="BF57" s="183" t="e">
        <f t="shared" si="35"/>
        <v>#REF!</v>
      </c>
      <c r="BG57" s="183" t="e">
        <f t="shared" si="35"/>
        <v>#REF!</v>
      </c>
      <c r="BH57" s="183" t="e">
        <f t="shared" si="35"/>
        <v>#REF!</v>
      </c>
      <c r="BI57" s="188" t="e">
        <f t="shared" si="24"/>
        <v>#REF!</v>
      </c>
      <c r="BJ57" s="183" t="e">
        <f>#REF!</f>
        <v>#REF!</v>
      </c>
      <c r="BK57" s="181"/>
      <c r="BL57" s="183" t="e">
        <f t="shared" si="30"/>
        <v>#REF!</v>
      </c>
      <c r="BM57" s="485" t="e">
        <f>#REF!</f>
        <v>#REF!</v>
      </c>
      <c r="BN57" s="183" t="e">
        <f>#REF!</f>
        <v>#REF!</v>
      </c>
      <c r="BO57" s="183" t="e">
        <f>#REF!</f>
        <v>#REF!</v>
      </c>
      <c r="BP57" s="485" t="e">
        <f t="shared" si="25"/>
        <v>#REF!</v>
      </c>
      <c r="BQ57" s="183" t="e">
        <f>#REF!</f>
        <v>#REF!</v>
      </c>
      <c r="BR57" s="183" t="e">
        <f>#REF!</f>
        <v>#REF!</v>
      </c>
      <c r="BS57" s="183" t="e">
        <f>#REF!+#REF!</f>
        <v>#REF!</v>
      </c>
      <c r="BT57" s="183" t="e">
        <f>#REF!</f>
        <v>#REF!</v>
      </c>
      <c r="BU57" s="207" t="e">
        <f t="shared" si="26"/>
        <v>#REF!</v>
      </c>
      <c r="BV57" s="183" t="e">
        <f>#REF!</f>
        <v>#REF!</v>
      </c>
      <c r="BW57" s="183" t="e">
        <f>#REF!</f>
        <v>#REF!</v>
      </c>
      <c r="BX57" s="183" t="e">
        <f>#REF!</f>
        <v>#REF!</v>
      </c>
      <c r="BY57" s="183" t="e">
        <f>#REF!+#REF!+#REF!</f>
        <v>#REF!</v>
      </c>
      <c r="BZ57" s="183" t="e">
        <f>#REF!</f>
        <v>#REF!</v>
      </c>
      <c r="CA57" s="183" t="e">
        <f>#REF!</f>
        <v>#REF!</v>
      </c>
      <c r="CB57" s="183" t="e">
        <f>#REF!</f>
        <v>#REF!</v>
      </c>
      <c r="CC57" s="183" t="e">
        <f>#REF!</f>
        <v>#REF!</v>
      </c>
      <c r="CD57" s="183" t="e">
        <f>#REF!</f>
        <v>#REF!</v>
      </c>
      <c r="CE57" s="485" t="e">
        <f>#REF!</f>
        <v>#REF!</v>
      </c>
      <c r="CF57" s="184" t="e">
        <f t="shared" si="27"/>
        <v>#REF!</v>
      </c>
      <c r="CG57" s="188" t="e">
        <f t="shared" si="28"/>
        <v>#REF!</v>
      </c>
      <c r="CH57" s="181"/>
      <c r="CI57" s="183" t="e">
        <f>#REF!</f>
        <v>#REF!</v>
      </c>
      <c r="CJ57" s="530" t="e">
        <f>#REF!</f>
        <v>#REF!</v>
      </c>
      <c r="CK57" s="188" t="e">
        <f t="shared" si="29"/>
        <v>#REF!</v>
      </c>
      <c r="CL57" s="183" t="e">
        <f>#REF!</f>
        <v>#REF!</v>
      </c>
      <c r="CM57" s="188" t="e">
        <f t="shared" si="31"/>
        <v>#REF!</v>
      </c>
    </row>
    <row r="58" spans="2:92" ht="15.75" hidden="1" customHeight="1">
      <c r="B58" s="3" t="b">
        <f t="shared" si="32"/>
        <v>0</v>
      </c>
      <c r="C58" s="567">
        <f>C57+1</f>
        <v>2028</v>
      </c>
      <c r="D58" s="1">
        <v>26</v>
      </c>
      <c r="AB58" s="567">
        <f>AB57+1</f>
        <v>2028</v>
      </c>
      <c r="AC58" s="444" t="s">
        <v>752</v>
      </c>
      <c r="AD58" s="567" t="str">
        <f t="shared" si="18"/>
        <v>План2028</v>
      </c>
      <c r="AE58" s="571" t="e">
        <f>#REF!</f>
        <v>#REF!</v>
      </c>
      <c r="AF58" s="571" t="e">
        <f>#REF!</f>
        <v>#REF!</v>
      </c>
      <c r="AG58" s="188" t="e">
        <f t="shared" si="19"/>
        <v>#REF!</v>
      </c>
      <c r="AH58" s="183" t="e">
        <f t="shared" si="33"/>
        <v>#REF!</v>
      </c>
      <c r="AI58" s="183" t="e">
        <f t="shared" si="33"/>
        <v>#REF!</v>
      </c>
      <c r="AJ58" s="183" t="e">
        <f t="shared" si="33"/>
        <v>#REF!</v>
      </c>
      <c r="AK58" s="183" t="e">
        <f t="shared" si="33"/>
        <v>#REF!</v>
      </c>
      <c r="AL58" s="572" t="e">
        <f>#REF!*AM58</f>
        <v>#REF!</v>
      </c>
      <c r="AM58" s="183" t="e">
        <f>#REF!</f>
        <v>#REF!</v>
      </c>
      <c r="AN58" s="569" t="e">
        <f t="shared" si="20"/>
        <v>#REF!</v>
      </c>
      <c r="AO58" s="183" t="e">
        <f t="shared" si="21"/>
        <v>#REF!</v>
      </c>
      <c r="AP58" s="183" t="e">
        <f t="shared" si="34"/>
        <v>#REF!</v>
      </c>
      <c r="AQ58" s="183" t="e">
        <f t="shared" si="34"/>
        <v>#REF!</v>
      </c>
      <c r="AR58" s="183" t="e">
        <f t="shared" si="34"/>
        <v>#REF!</v>
      </c>
      <c r="AS58" s="183" t="e">
        <f t="shared" si="22"/>
        <v>#REF!</v>
      </c>
      <c r="AT58" s="183" t="e">
        <f>AT57*$AN58</f>
        <v>#REF!</v>
      </c>
      <c r="AU58" s="183" t="e">
        <f t="shared" si="23"/>
        <v>#REF!</v>
      </c>
      <c r="AV58" s="183" t="e">
        <f t="shared" si="35"/>
        <v>#REF!</v>
      </c>
      <c r="AW58" s="183" t="e">
        <f t="shared" si="35"/>
        <v>#REF!</v>
      </c>
      <c r="AX58" s="183" t="e">
        <f t="shared" si="35"/>
        <v>#REF!</v>
      </c>
      <c r="AY58" s="183" t="e">
        <f t="shared" si="35"/>
        <v>#REF!</v>
      </c>
      <c r="AZ58" s="183" t="e">
        <f t="shared" si="35"/>
        <v>#REF!</v>
      </c>
      <c r="BA58" s="183" t="e">
        <f t="shared" si="35"/>
        <v>#REF!</v>
      </c>
      <c r="BB58" s="183" t="e">
        <f t="shared" si="35"/>
        <v>#REF!</v>
      </c>
      <c r="BC58" s="183" t="e">
        <f t="shared" si="35"/>
        <v>#REF!</v>
      </c>
      <c r="BD58" s="183" t="e">
        <f t="shared" si="35"/>
        <v>#REF!</v>
      </c>
      <c r="BE58" s="183" t="e">
        <f t="shared" si="35"/>
        <v>#REF!</v>
      </c>
      <c r="BF58" s="183" t="e">
        <f t="shared" si="35"/>
        <v>#REF!</v>
      </c>
      <c r="BG58" s="183" t="e">
        <f t="shared" si="35"/>
        <v>#REF!</v>
      </c>
      <c r="BH58" s="183" t="e">
        <f t="shared" si="35"/>
        <v>#REF!</v>
      </c>
      <c r="BI58" s="188" t="e">
        <f t="shared" si="24"/>
        <v>#REF!</v>
      </c>
      <c r="BJ58" s="183" t="e">
        <f>#REF!</f>
        <v>#REF!</v>
      </c>
      <c r="BK58" s="181"/>
      <c r="BL58" s="183" t="e">
        <f t="shared" si="30"/>
        <v>#REF!</v>
      </c>
      <c r="BM58" s="485" t="e">
        <f>#REF!</f>
        <v>#REF!</v>
      </c>
      <c r="BN58" s="183" t="e">
        <f>#REF!</f>
        <v>#REF!</v>
      </c>
      <c r="BO58" s="183" t="e">
        <f>#REF!</f>
        <v>#REF!</v>
      </c>
      <c r="BP58" s="485" t="e">
        <f t="shared" si="25"/>
        <v>#REF!</v>
      </c>
      <c r="BQ58" s="183" t="e">
        <f>#REF!</f>
        <v>#REF!</v>
      </c>
      <c r="BR58" s="183" t="e">
        <f>#REF!</f>
        <v>#REF!</v>
      </c>
      <c r="BS58" s="183" t="e">
        <f>#REF!+#REF!</f>
        <v>#REF!</v>
      </c>
      <c r="BT58" s="183" t="e">
        <f>#REF!</f>
        <v>#REF!</v>
      </c>
      <c r="BU58" s="207" t="e">
        <f t="shared" si="26"/>
        <v>#REF!</v>
      </c>
      <c r="BV58" s="183" t="e">
        <f>#REF!</f>
        <v>#REF!</v>
      </c>
      <c r="BW58" s="183" t="e">
        <f>#REF!</f>
        <v>#REF!</v>
      </c>
      <c r="BX58" s="183" t="e">
        <f>#REF!</f>
        <v>#REF!</v>
      </c>
      <c r="BY58" s="183" t="e">
        <f>#REF!+#REF!+#REF!</f>
        <v>#REF!</v>
      </c>
      <c r="BZ58" s="183" t="e">
        <f>#REF!</f>
        <v>#REF!</v>
      </c>
      <c r="CA58" s="183" t="e">
        <f>#REF!</f>
        <v>#REF!</v>
      </c>
      <c r="CB58" s="183" t="e">
        <f>#REF!</f>
        <v>#REF!</v>
      </c>
      <c r="CC58" s="183" t="e">
        <f>#REF!</f>
        <v>#REF!</v>
      </c>
      <c r="CD58" s="183" t="e">
        <f>#REF!</f>
        <v>#REF!</v>
      </c>
      <c r="CE58" s="485" t="e">
        <f>#REF!</f>
        <v>#REF!</v>
      </c>
      <c r="CF58" s="184" t="e">
        <f t="shared" si="27"/>
        <v>#REF!</v>
      </c>
      <c r="CG58" s="188" t="e">
        <f t="shared" si="28"/>
        <v>#REF!</v>
      </c>
      <c r="CH58" s="181"/>
      <c r="CI58" s="183" t="e">
        <f>#REF!</f>
        <v>#REF!</v>
      </c>
      <c r="CJ58" s="530" t="e">
        <f>#REF!</f>
        <v>#REF!</v>
      </c>
      <c r="CK58" s="188" t="e">
        <f t="shared" si="29"/>
        <v>#REF!</v>
      </c>
      <c r="CL58" s="183" t="e">
        <f>#REF!</f>
        <v>#REF!</v>
      </c>
      <c r="CM58" s="188" t="e">
        <f t="shared" si="31"/>
        <v>#REF!</v>
      </c>
    </row>
    <row r="59" spans="2:92" ht="15.75" hidden="1" customHeight="1">
      <c r="B59" s="3" t="b">
        <f>IFERROR(AND(REPORT_OWNER&lt;&gt;"Версия организации",C59&gt;=FIRST_PERIOD_IN_LT+PERIOD_LENGTH-1),FALSE)</f>
        <v>0</v>
      </c>
      <c r="C59" s="567">
        <f>C58+1</f>
        <v>2029</v>
      </c>
      <c r="D59" s="1">
        <v>0</v>
      </c>
      <c r="AB59" s="567">
        <f>AB58+1</f>
        <v>2029</v>
      </c>
      <c r="AC59" s="444" t="s">
        <v>752</v>
      </c>
      <c r="AD59" s="567" t="str">
        <f t="shared" si="18"/>
        <v>План2029</v>
      </c>
      <c r="AE59" s="571" t="e">
        <f>#REF!</f>
        <v>#REF!</v>
      </c>
      <c r="AF59" s="571" t="e">
        <f>#REF!</f>
        <v>#REF!</v>
      </c>
      <c r="AG59" s="188" t="e">
        <f t="shared" si="19"/>
        <v>#REF!</v>
      </c>
      <c r="AH59" s="183" t="e">
        <f t="shared" si="33"/>
        <v>#REF!</v>
      </c>
      <c r="AI59" s="183" t="e">
        <f t="shared" si="33"/>
        <v>#REF!</v>
      </c>
      <c r="AJ59" s="183" t="e">
        <f t="shared" si="33"/>
        <v>#REF!</v>
      </c>
      <c r="AK59" s="183" t="e">
        <f t="shared" si="33"/>
        <v>#REF!</v>
      </c>
      <c r="AL59" s="572" t="e">
        <f>#REF!*AM59</f>
        <v>#REF!</v>
      </c>
      <c r="AM59" s="183" t="e">
        <f>#REF!</f>
        <v>#REF!</v>
      </c>
      <c r="AN59" s="569" t="e">
        <f t="shared" si="20"/>
        <v>#REF!</v>
      </c>
      <c r="AO59" s="183" t="e">
        <f t="shared" si="21"/>
        <v>#REF!</v>
      </c>
      <c r="AP59" s="183" t="e">
        <f t="shared" si="34"/>
        <v>#REF!</v>
      </c>
      <c r="AQ59" s="183" t="e">
        <f t="shared" si="34"/>
        <v>#REF!</v>
      </c>
      <c r="AR59" s="183" t="e">
        <f t="shared" si="34"/>
        <v>#REF!</v>
      </c>
      <c r="AS59" s="183" t="e">
        <f t="shared" si="22"/>
        <v>#REF!</v>
      </c>
      <c r="AT59" s="183" t="e">
        <f>AT58*$AN59</f>
        <v>#REF!</v>
      </c>
      <c r="AU59" s="183" t="e">
        <f t="shared" si="23"/>
        <v>#REF!</v>
      </c>
      <c r="AV59" s="183" t="e">
        <f t="shared" si="35"/>
        <v>#REF!</v>
      </c>
      <c r="AW59" s="183" t="e">
        <f t="shared" si="35"/>
        <v>#REF!</v>
      </c>
      <c r="AX59" s="183" t="e">
        <f t="shared" si="35"/>
        <v>#REF!</v>
      </c>
      <c r="AY59" s="183" t="e">
        <f t="shared" si="35"/>
        <v>#REF!</v>
      </c>
      <c r="AZ59" s="183" t="e">
        <f t="shared" si="35"/>
        <v>#REF!</v>
      </c>
      <c r="BA59" s="183" t="e">
        <f t="shared" si="35"/>
        <v>#REF!</v>
      </c>
      <c r="BB59" s="183" t="e">
        <f t="shared" si="35"/>
        <v>#REF!</v>
      </c>
      <c r="BC59" s="183" t="e">
        <f t="shared" si="35"/>
        <v>#REF!</v>
      </c>
      <c r="BD59" s="183" t="e">
        <f t="shared" si="35"/>
        <v>#REF!</v>
      </c>
      <c r="BE59" s="183" t="e">
        <f t="shared" si="35"/>
        <v>#REF!</v>
      </c>
      <c r="BF59" s="183" t="e">
        <f t="shared" si="35"/>
        <v>#REF!</v>
      </c>
      <c r="BG59" s="183" t="e">
        <f t="shared" si="35"/>
        <v>#REF!</v>
      </c>
      <c r="BH59" s="183" t="e">
        <f t="shared" si="35"/>
        <v>#REF!</v>
      </c>
      <c r="BI59" s="188" t="e">
        <f t="shared" si="24"/>
        <v>#REF!</v>
      </c>
      <c r="BJ59" s="183" t="e">
        <f>#REF!</f>
        <v>#REF!</v>
      </c>
      <c r="BK59" s="181"/>
      <c r="BL59" s="183" t="e">
        <f t="shared" si="30"/>
        <v>#REF!</v>
      </c>
      <c r="BM59" s="485" t="e">
        <f>#REF!</f>
        <v>#REF!</v>
      </c>
      <c r="BN59" s="183" t="e">
        <f>#REF!</f>
        <v>#REF!</v>
      </c>
      <c r="BO59" s="183" t="e">
        <f>#REF!</f>
        <v>#REF!</v>
      </c>
      <c r="BP59" s="485" t="e">
        <f t="shared" si="25"/>
        <v>#REF!</v>
      </c>
      <c r="BQ59" s="183" t="e">
        <f>#REF!</f>
        <v>#REF!</v>
      </c>
      <c r="BR59" s="183" t="e">
        <f>#REF!</f>
        <v>#REF!</v>
      </c>
      <c r="BS59" s="183" t="e">
        <f>#REF!+#REF!</f>
        <v>#REF!</v>
      </c>
      <c r="BT59" s="183" t="e">
        <f>#REF!</f>
        <v>#REF!</v>
      </c>
      <c r="BU59" s="183" t="e">
        <f t="shared" si="26"/>
        <v>#REF!</v>
      </c>
      <c r="BV59" s="183" t="e">
        <f>#REF!</f>
        <v>#REF!</v>
      </c>
      <c r="BW59" s="183" t="e">
        <f>#REF!</f>
        <v>#REF!</v>
      </c>
      <c r="BX59" s="183" t="e">
        <f>#REF!</f>
        <v>#REF!</v>
      </c>
      <c r="BY59" s="183" t="e">
        <f>#REF!+#REF!+#REF!</f>
        <v>#REF!</v>
      </c>
      <c r="BZ59" s="183" t="e">
        <f>#REF!</f>
        <v>#REF!</v>
      </c>
      <c r="CA59" s="183" t="e">
        <f>#REF!</f>
        <v>#REF!</v>
      </c>
      <c r="CB59" s="183" t="e">
        <f>#REF!</f>
        <v>#REF!</v>
      </c>
      <c r="CC59" s="183" t="e">
        <f>#REF!</f>
        <v>#REF!</v>
      </c>
      <c r="CD59" s="183" t="e">
        <f>#REF!</f>
        <v>#REF!</v>
      </c>
      <c r="CE59" s="485" t="e">
        <f>#REF!</f>
        <v>#REF!</v>
      </c>
      <c r="CF59" s="184" t="e">
        <f t="shared" si="27"/>
        <v>#REF!</v>
      </c>
      <c r="CG59" s="188" t="e">
        <f t="shared" si="28"/>
        <v>#REF!</v>
      </c>
      <c r="CH59" s="181"/>
      <c r="CI59" s="183" t="e">
        <f>#REF!</f>
        <v>#REF!</v>
      </c>
      <c r="CJ59" s="530" t="e">
        <f>#REF!</f>
        <v>#REF!</v>
      </c>
      <c r="CK59" s="188" t="e">
        <f t="shared" si="29"/>
        <v>#REF!</v>
      </c>
      <c r="CL59" s="183" t="e">
        <f>#REF!</f>
        <v>#REF!</v>
      </c>
      <c r="CM59" s="188" t="e">
        <f t="shared" si="31"/>
        <v>#REF!</v>
      </c>
    </row>
    <row r="60" spans="2:92" ht="15.75" hidden="1" customHeight="1">
      <c r="B60" s="3" t="b">
        <f>IFERROR(AND(REPORT_OWNER&lt;&gt;"Версия организации",C60&gt;=FIRST_PERIOD_IN_LT+PERIOD_LENGTH-1),FALSE)</f>
        <v>0</v>
      </c>
      <c r="C60" s="567">
        <f>C59+1</f>
        <v>2030</v>
      </c>
      <c r="D60" s="1">
        <v>26</v>
      </c>
      <c r="AB60" s="567">
        <f>AB59+1</f>
        <v>2030</v>
      </c>
      <c r="AC60" s="444" t="s">
        <v>752</v>
      </c>
      <c r="AD60" s="567" t="str">
        <f t="shared" si="18"/>
        <v>План2030</v>
      </c>
      <c r="AE60" s="571" t="e">
        <f>#REF!</f>
        <v>#REF!</v>
      </c>
      <c r="AF60" s="571" t="e">
        <f>#REF!</f>
        <v>#REF!</v>
      </c>
      <c r="AG60" s="188" t="e">
        <f t="shared" si="19"/>
        <v>#REF!</v>
      </c>
      <c r="AH60" s="183" t="e">
        <f t="shared" si="33"/>
        <v>#REF!</v>
      </c>
      <c r="AI60" s="183" t="e">
        <f t="shared" si="33"/>
        <v>#REF!</v>
      </c>
      <c r="AJ60" s="183" t="e">
        <f t="shared" si="33"/>
        <v>#REF!</v>
      </c>
      <c r="AK60" s="183" t="e">
        <f t="shared" si="33"/>
        <v>#REF!</v>
      </c>
      <c r="AL60" s="572" t="e">
        <f>#REF!*AM60</f>
        <v>#REF!</v>
      </c>
      <c r="AM60" s="183" t="e">
        <f>#REF!</f>
        <v>#REF!</v>
      </c>
      <c r="AN60" s="569" t="e">
        <f t="shared" si="20"/>
        <v>#REF!</v>
      </c>
      <c r="AO60" s="183" t="e">
        <f t="shared" si="21"/>
        <v>#REF!</v>
      </c>
      <c r="AP60" s="183" t="e">
        <f t="shared" si="34"/>
        <v>#REF!</v>
      </c>
      <c r="AQ60" s="183" t="e">
        <f t="shared" si="34"/>
        <v>#REF!</v>
      </c>
      <c r="AR60" s="183" t="e">
        <f t="shared" si="34"/>
        <v>#REF!</v>
      </c>
      <c r="AS60" s="183" t="e">
        <f t="shared" si="22"/>
        <v>#REF!</v>
      </c>
      <c r="AT60" s="183" t="e">
        <f>AT59*$AN60</f>
        <v>#REF!</v>
      </c>
      <c r="AU60" s="183" t="e">
        <f t="shared" si="23"/>
        <v>#REF!</v>
      </c>
      <c r="AV60" s="183" t="e">
        <f t="shared" si="35"/>
        <v>#REF!</v>
      </c>
      <c r="AW60" s="183" t="e">
        <f t="shared" si="35"/>
        <v>#REF!</v>
      </c>
      <c r="AX60" s="183" t="e">
        <f t="shared" si="35"/>
        <v>#REF!</v>
      </c>
      <c r="AY60" s="183" t="e">
        <f t="shared" si="35"/>
        <v>#REF!</v>
      </c>
      <c r="AZ60" s="183" t="e">
        <f t="shared" si="35"/>
        <v>#REF!</v>
      </c>
      <c r="BA60" s="183" t="e">
        <f t="shared" si="35"/>
        <v>#REF!</v>
      </c>
      <c r="BB60" s="183" t="e">
        <f t="shared" si="35"/>
        <v>#REF!</v>
      </c>
      <c r="BC60" s="183" t="e">
        <f t="shared" si="35"/>
        <v>#REF!</v>
      </c>
      <c r="BD60" s="183" t="e">
        <f t="shared" si="35"/>
        <v>#REF!</v>
      </c>
      <c r="BE60" s="183" t="e">
        <f t="shared" si="35"/>
        <v>#REF!</v>
      </c>
      <c r="BF60" s="183" t="e">
        <f t="shared" si="35"/>
        <v>#REF!</v>
      </c>
      <c r="BG60" s="183" t="e">
        <f t="shared" si="35"/>
        <v>#REF!</v>
      </c>
      <c r="BH60" s="183" t="e">
        <f t="shared" si="35"/>
        <v>#REF!</v>
      </c>
      <c r="BI60" s="188" t="e">
        <f t="shared" si="24"/>
        <v>#REF!</v>
      </c>
      <c r="BJ60" s="183" t="e">
        <f>#REF!</f>
        <v>#REF!</v>
      </c>
      <c r="BK60" s="181"/>
      <c r="BL60" s="183" t="e">
        <f t="shared" si="30"/>
        <v>#REF!</v>
      </c>
      <c r="BM60" s="485" t="e">
        <f>#REF!</f>
        <v>#REF!</v>
      </c>
      <c r="BN60" s="183" t="e">
        <f>#REF!</f>
        <v>#REF!</v>
      </c>
      <c r="BO60" s="183" t="e">
        <f>#REF!</f>
        <v>#REF!</v>
      </c>
      <c r="BP60" s="485" t="e">
        <f t="shared" si="25"/>
        <v>#REF!</v>
      </c>
      <c r="BQ60" s="183" t="e">
        <f>#REF!</f>
        <v>#REF!</v>
      </c>
      <c r="BR60" s="183" t="e">
        <f>#REF!</f>
        <v>#REF!</v>
      </c>
      <c r="BS60" s="183" t="e">
        <f>#REF!+#REF!</f>
        <v>#REF!</v>
      </c>
      <c r="BT60" s="183" t="e">
        <f>#REF!</f>
        <v>#REF!</v>
      </c>
      <c r="BU60" s="183" t="e">
        <f t="shared" si="26"/>
        <v>#REF!</v>
      </c>
      <c r="BV60" s="183" t="e">
        <f>#REF!</f>
        <v>#REF!</v>
      </c>
      <c r="BW60" s="183" t="e">
        <f>#REF!</f>
        <v>#REF!</v>
      </c>
      <c r="BX60" s="183" t="e">
        <f>#REF!</f>
        <v>#REF!</v>
      </c>
      <c r="BY60" s="183" t="e">
        <f>#REF!+#REF!+#REF!</f>
        <v>#REF!</v>
      </c>
      <c r="BZ60" s="183" t="e">
        <f>#REF!</f>
        <v>#REF!</v>
      </c>
      <c r="CA60" s="183" t="e">
        <f>#REF!</f>
        <v>#REF!</v>
      </c>
      <c r="CB60" s="183" t="e">
        <f>#REF!</f>
        <v>#REF!</v>
      </c>
      <c r="CC60" s="183" t="e">
        <f>#REF!</f>
        <v>#REF!</v>
      </c>
      <c r="CD60" s="183" t="e">
        <f>#REF!</f>
        <v>#REF!</v>
      </c>
      <c r="CE60" s="485" t="e">
        <f>#REF!</f>
        <v>#REF!</v>
      </c>
      <c r="CF60" s="184" t="e">
        <f t="shared" si="27"/>
        <v>#REF!</v>
      </c>
      <c r="CG60" s="188" t="e">
        <f t="shared" si="28"/>
        <v>#REF!</v>
      </c>
      <c r="CH60" s="181"/>
      <c r="CI60" s="183" t="e">
        <f>#REF!</f>
        <v>#REF!</v>
      </c>
      <c r="CJ60" s="530" t="e">
        <f>#REF!</f>
        <v>#REF!</v>
      </c>
      <c r="CK60" s="188" t="e">
        <f t="shared" si="29"/>
        <v>#REF!</v>
      </c>
      <c r="CL60" s="183" t="e">
        <f>#REF!</f>
        <v>#REF!</v>
      </c>
      <c r="CM60" s="188" t="e">
        <f t="shared" si="31"/>
        <v>#REF!</v>
      </c>
    </row>
    <row r="61" spans="2:92" ht="11.25" hidden="1" customHeight="1">
      <c r="D61" s="2">
        <v>0</v>
      </c>
      <c r="CN61" s="2" t="s">
        <v>42</v>
      </c>
    </row>
  </sheetData>
  <sheetProtection formatColumns="0" formatRows="0" insertRows="0" deleteColumns="0" deleteRows="0" sort="0" autoFilter="0"/>
  <mergeCells count="65">
    <mergeCell ref="AB21:AD21"/>
    <mergeCell ref="AB22:AF22"/>
    <mergeCell ref="BJ24:CG24"/>
    <mergeCell ref="AN25:AN26"/>
    <mergeCell ref="AO25:AO26"/>
    <mergeCell ref="AP25:AP26"/>
    <mergeCell ref="AQ25:AQ26"/>
    <mergeCell ref="AX25:AX26"/>
    <mergeCell ref="AY25:AY26"/>
    <mergeCell ref="AZ25:AZ26"/>
    <mergeCell ref="BA25:BA26"/>
    <mergeCell ref="BB25:BB26"/>
    <mergeCell ref="BM25:BM26"/>
    <mergeCell ref="BN25:BN26"/>
    <mergeCell ref="BO25:BO26"/>
    <mergeCell ref="BP25:BP26"/>
    <mergeCell ref="AB24:AB27"/>
    <mergeCell ref="AC24:AC27"/>
    <mergeCell ref="AE24:AN24"/>
    <mergeCell ref="AO24:BI24"/>
    <mergeCell ref="AE25:AE26"/>
    <mergeCell ref="AF25:AF26"/>
    <mergeCell ref="AG25:AK25"/>
    <mergeCell ref="AL25:AL26"/>
    <mergeCell ref="AM25:AM26"/>
    <mergeCell ref="BC25:BC26"/>
    <mergeCell ref="AR25:AR26"/>
    <mergeCell ref="AS25:AS26"/>
    <mergeCell ref="AT25:AT26"/>
    <mergeCell ref="AU25:AU26"/>
    <mergeCell ref="AV25:AV26"/>
    <mergeCell ref="BT25:BT26"/>
    <mergeCell ref="BU25:BU26"/>
    <mergeCell ref="BV25:BV26"/>
    <mergeCell ref="BW25:BW26"/>
    <mergeCell ref="BD25:BD26"/>
    <mergeCell ref="CM24:CM26"/>
    <mergeCell ref="CG25:CG26"/>
    <mergeCell ref="CA25:CA26"/>
    <mergeCell ref="CB25:CB26"/>
    <mergeCell ref="CC25:CC26"/>
    <mergeCell ref="CD25:CD26"/>
    <mergeCell ref="CE25:CE26"/>
    <mergeCell ref="CF25:CF26"/>
    <mergeCell ref="CH24:CH26"/>
    <mergeCell ref="CI24:CI26"/>
    <mergeCell ref="CK24:CK26"/>
    <mergeCell ref="CJ24:CJ26"/>
    <mergeCell ref="CL24:CL26"/>
    <mergeCell ref="BZ25:BZ26"/>
    <mergeCell ref="BQ25:BQ26"/>
    <mergeCell ref="BR25:BR26"/>
    <mergeCell ref="BX25:BX26"/>
    <mergeCell ref="AB6:AC6"/>
    <mergeCell ref="BY25:BY26"/>
    <mergeCell ref="AD24:AD26"/>
    <mergeCell ref="AW25:AW26"/>
    <mergeCell ref="BE25:BE26"/>
    <mergeCell ref="BJ25:BJ26"/>
    <mergeCell ref="BK25:BL25"/>
    <mergeCell ref="BF25:BF26"/>
    <mergeCell ref="BG25:BG26"/>
    <mergeCell ref="BH25:BH26"/>
    <mergeCell ref="BI25:BI26"/>
    <mergeCell ref="BS25:BS2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CZ44"/>
  <sheetViews>
    <sheetView showGridLines="0" topLeftCell="AA20" workbookViewId="0">
      <selection activeCell="AA20" sqref="AA20"/>
    </sheetView>
  </sheetViews>
  <sheetFormatPr defaultColWidth="8.85546875" defaultRowHeight="11.45" customHeight="1"/>
  <cols>
    <col min="1" max="1" width="8.85546875" hidden="1"/>
    <col min="2" max="2" width="9" hidden="1" customWidth="1"/>
    <col min="3" max="26" width="3.42578125" hidden="1" customWidth="1"/>
    <col min="27" max="27" width="6.85546875" customWidth="1"/>
    <col min="28" max="28" width="26.28515625" customWidth="1"/>
    <col min="29" max="29" width="12.5703125" customWidth="1"/>
    <col min="30" max="30" width="8.85546875" hidden="1"/>
    <col min="31" max="31" width="13.140625" hidden="1" customWidth="1"/>
    <col min="32" max="33" width="9.140625" customWidth="1"/>
    <col min="34" max="34" width="17.140625" customWidth="1"/>
    <col min="35" max="36" width="11.42578125" customWidth="1"/>
    <col min="37" max="38" width="13.7109375" customWidth="1"/>
    <col min="39" max="39" width="11.42578125" customWidth="1"/>
    <col min="40" max="41" width="9.140625" customWidth="1"/>
    <col min="42" max="42" width="17.140625" customWidth="1"/>
    <col min="43" max="43" width="14.85546875" customWidth="1"/>
    <col min="44" max="44" width="32" customWidth="1"/>
    <col min="45" max="45" width="14.85546875" customWidth="1"/>
    <col min="46" max="47" width="16" customWidth="1"/>
    <col min="48" max="48" width="12.5703125" customWidth="1"/>
    <col min="49" max="50" width="13.7109375" customWidth="1"/>
    <col min="51" max="61" width="12.5703125" customWidth="1"/>
    <col min="62" max="62" width="20.5703125" customWidth="1"/>
    <col min="63" max="63" width="12.5703125" customWidth="1"/>
    <col min="64" max="64" width="13.7109375" customWidth="1"/>
    <col min="65" max="68" width="14.85546875" customWidth="1"/>
    <col min="69" max="69" width="16" customWidth="1"/>
    <col min="70" max="70" width="12.5703125" customWidth="1"/>
    <col min="71" max="71" width="13.7109375" customWidth="1"/>
    <col min="72" max="72" width="12.5703125" customWidth="1"/>
    <col min="73" max="73" width="16" customWidth="1"/>
    <col min="74" max="74" width="14.85546875" customWidth="1"/>
    <col min="75" max="75" width="45.7109375" customWidth="1"/>
    <col min="76" max="76" width="68.5703125" customWidth="1"/>
    <col min="77" max="77" width="44.5703125" customWidth="1"/>
    <col min="78" max="81" width="14.85546875" customWidth="1"/>
    <col min="82" max="82" width="17.140625" customWidth="1"/>
    <col min="83" max="83" width="14.85546875" customWidth="1"/>
    <col min="84" max="84" width="17.140625" customWidth="1"/>
    <col min="85" max="85" width="19.42578125" customWidth="1"/>
    <col min="86" max="86" width="17.140625" customWidth="1"/>
    <col min="87" max="87" width="20.5703125" customWidth="1"/>
    <col min="88" max="91" width="14.85546875" customWidth="1"/>
    <col min="92" max="92" width="20.5703125" customWidth="1"/>
    <col min="93" max="93" width="19.42578125" customWidth="1"/>
    <col min="94" max="94" width="17.140625" customWidth="1"/>
    <col min="95" max="95" width="14.85546875" customWidth="1"/>
    <col min="96" max="96" width="13.7109375" customWidth="1"/>
    <col min="97" max="97" width="14.85546875" customWidth="1"/>
    <col min="98" max="98" width="9.140625" customWidth="1"/>
    <col min="99" max="100" width="12.5703125" customWidth="1"/>
    <col min="101" max="101" width="14.85546875" customWidth="1"/>
    <col min="102" max="102" width="16" customWidth="1"/>
    <col min="103" max="103" width="14.7109375" hidden="1" customWidth="1"/>
    <col min="104" max="104" width="8.85546875" hidden="1"/>
  </cols>
  <sheetData>
    <row r="1" spans="4:104" ht="11.25" hidden="1" customHeight="1"/>
    <row r="2" spans="4:104" ht="13.5" hidden="1" customHeight="1"/>
    <row r="3" spans="4:104" ht="13.5" hidden="1" customHeight="1"/>
    <row r="4" spans="4:104" ht="13.5" hidden="1" customHeight="1">
      <c r="E4" s="1">
        <v>64</v>
      </c>
      <c r="F4" s="1">
        <v>64</v>
      </c>
      <c r="G4" s="1">
        <v>64</v>
      </c>
      <c r="H4" s="1">
        <v>64</v>
      </c>
      <c r="I4" s="1">
        <v>64</v>
      </c>
      <c r="J4" s="1">
        <v>64</v>
      </c>
      <c r="K4" s="1">
        <v>64</v>
      </c>
      <c r="L4" s="1">
        <v>64</v>
      </c>
      <c r="M4" s="1">
        <v>64</v>
      </c>
      <c r="N4" s="1">
        <v>64</v>
      </c>
      <c r="O4" s="1">
        <v>64</v>
      </c>
      <c r="P4" s="1">
        <v>64</v>
      </c>
      <c r="Q4" s="1">
        <v>64</v>
      </c>
      <c r="R4" s="1">
        <v>64</v>
      </c>
      <c r="S4" s="1">
        <v>64</v>
      </c>
      <c r="T4" s="1">
        <v>64</v>
      </c>
      <c r="U4" s="1">
        <v>64</v>
      </c>
      <c r="V4" s="1">
        <v>64</v>
      </c>
      <c r="W4" s="1">
        <v>64</v>
      </c>
      <c r="X4" s="1">
        <v>64</v>
      </c>
      <c r="Y4" s="1">
        <v>64</v>
      </c>
      <c r="Z4" s="1">
        <v>64</v>
      </c>
      <c r="AA4" s="1">
        <v>48</v>
      </c>
      <c r="AB4" s="1">
        <v>184</v>
      </c>
      <c r="AC4" s="1">
        <v>88</v>
      </c>
      <c r="AD4" s="1">
        <v>0</v>
      </c>
      <c r="AE4" s="1">
        <v>0</v>
      </c>
      <c r="AF4" s="1">
        <v>64</v>
      </c>
      <c r="AG4" s="1">
        <v>64</v>
      </c>
      <c r="AH4" s="1">
        <v>120</v>
      </c>
      <c r="AI4" s="1">
        <v>80</v>
      </c>
      <c r="AJ4" s="1">
        <v>80</v>
      </c>
      <c r="AK4" s="1">
        <v>96</v>
      </c>
      <c r="AL4" s="1">
        <v>96</v>
      </c>
      <c r="AM4" s="1">
        <v>80</v>
      </c>
      <c r="AN4" s="1">
        <v>64</v>
      </c>
      <c r="AO4" s="1">
        <v>64</v>
      </c>
      <c r="AP4" s="1">
        <v>120</v>
      </c>
      <c r="AQ4" s="1">
        <v>104</v>
      </c>
      <c r="AR4" s="1">
        <v>224</v>
      </c>
      <c r="AS4" s="1">
        <v>104</v>
      </c>
      <c r="AT4" s="1">
        <v>112</v>
      </c>
      <c r="AU4" s="1">
        <v>112</v>
      </c>
      <c r="AV4" s="1">
        <v>88</v>
      </c>
      <c r="AW4" s="1">
        <v>96</v>
      </c>
      <c r="AX4" s="1">
        <v>96</v>
      </c>
      <c r="AY4" s="1">
        <v>88</v>
      </c>
      <c r="AZ4" s="1">
        <v>88</v>
      </c>
      <c r="BA4" s="1">
        <v>88</v>
      </c>
      <c r="BB4" s="1">
        <v>88</v>
      </c>
      <c r="BC4" s="1">
        <v>88</v>
      </c>
      <c r="BD4" s="1">
        <v>88</v>
      </c>
      <c r="BE4" s="1">
        <v>88</v>
      </c>
      <c r="BF4" s="1">
        <v>88</v>
      </c>
      <c r="BG4" s="1">
        <v>88</v>
      </c>
      <c r="BH4" s="1">
        <v>88</v>
      </c>
      <c r="BI4" s="1">
        <v>88</v>
      </c>
      <c r="BJ4" s="1">
        <v>144</v>
      </c>
      <c r="BK4" s="1">
        <v>88</v>
      </c>
      <c r="BL4" s="1">
        <v>96</v>
      </c>
      <c r="BM4" s="1">
        <v>104</v>
      </c>
      <c r="BN4" s="1">
        <v>104</v>
      </c>
      <c r="BO4" s="1">
        <v>104</v>
      </c>
      <c r="BP4" s="1">
        <v>104</v>
      </c>
      <c r="BQ4" s="1">
        <v>112</v>
      </c>
      <c r="BR4" s="1">
        <v>88</v>
      </c>
      <c r="BS4" s="1">
        <v>96</v>
      </c>
      <c r="BT4" s="1">
        <v>88</v>
      </c>
      <c r="BU4" s="1">
        <v>112</v>
      </c>
      <c r="BV4" s="1">
        <v>104</v>
      </c>
      <c r="BW4" s="1">
        <v>320</v>
      </c>
      <c r="BX4" s="1">
        <v>480</v>
      </c>
      <c r="BY4" s="1">
        <v>312</v>
      </c>
      <c r="BZ4" s="1">
        <v>104</v>
      </c>
      <c r="CA4" s="1">
        <v>104</v>
      </c>
      <c r="CB4" s="1">
        <v>104</v>
      </c>
      <c r="CC4" s="1">
        <v>104</v>
      </c>
      <c r="CD4" s="1">
        <v>120</v>
      </c>
      <c r="CE4" s="1">
        <v>104</v>
      </c>
      <c r="CF4" s="1">
        <v>120</v>
      </c>
      <c r="CG4" s="1">
        <v>136</v>
      </c>
      <c r="CH4" s="1">
        <v>120</v>
      </c>
      <c r="CI4" s="1">
        <v>144</v>
      </c>
      <c r="CJ4" s="1">
        <v>104</v>
      </c>
      <c r="CK4" s="1">
        <v>104</v>
      </c>
      <c r="CL4" s="1">
        <v>104</v>
      </c>
      <c r="CM4" s="1">
        <v>104</v>
      </c>
      <c r="CN4" s="1">
        <v>144</v>
      </c>
      <c r="CO4" s="1">
        <v>136</v>
      </c>
      <c r="CP4" s="1">
        <v>120</v>
      </c>
      <c r="CQ4" s="1">
        <v>104</v>
      </c>
      <c r="CR4" s="1">
        <v>96</v>
      </c>
      <c r="CS4" s="1">
        <v>104</v>
      </c>
      <c r="CT4" s="1">
        <v>64</v>
      </c>
      <c r="CU4" s="1">
        <v>88</v>
      </c>
      <c r="CV4" s="1">
        <v>88</v>
      </c>
      <c r="CW4" s="1">
        <v>104</v>
      </c>
      <c r="CX4" s="1">
        <v>112</v>
      </c>
      <c r="CY4" s="1">
        <v>0</v>
      </c>
      <c r="CZ4" s="2">
        <v>0</v>
      </c>
    </row>
    <row r="5" spans="4:104" ht="13.5" hidden="1" customHeight="1">
      <c r="D5" s="1">
        <v>40</v>
      </c>
    </row>
    <row r="6" spans="4:104" ht="13.5" hidden="1" customHeight="1">
      <c r="D6" s="1">
        <v>40</v>
      </c>
    </row>
    <row r="7" spans="4:104" ht="13.5" hidden="1" customHeight="1">
      <c r="D7" s="1">
        <v>40</v>
      </c>
    </row>
    <row r="8" spans="4:104" ht="13.5" hidden="1" customHeight="1">
      <c r="D8" s="1">
        <v>40</v>
      </c>
    </row>
    <row r="9" spans="4:104" ht="13.5" hidden="1" customHeight="1">
      <c r="D9" s="1">
        <v>40</v>
      </c>
    </row>
    <row r="10" spans="4:104" ht="13.5" hidden="1" customHeight="1">
      <c r="D10" s="1">
        <v>40</v>
      </c>
    </row>
    <row r="11" spans="4:104" ht="13.5" hidden="1" customHeight="1">
      <c r="D11" s="1">
        <v>40</v>
      </c>
    </row>
    <row r="12" spans="4:104" ht="13.5" hidden="1" customHeight="1">
      <c r="D12" s="1">
        <v>40</v>
      </c>
    </row>
    <row r="13" spans="4:104" ht="13.5" hidden="1" customHeight="1">
      <c r="D13" s="1">
        <v>40</v>
      </c>
    </row>
    <row r="14" spans="4:104" ht="13.5" hidden="1" customHeight="1">
      <c r="D14" s="1">
        <v>40</v>
      </c>
    </row>
    <row r="15" spans="4:104" ht="13.5" hidden="1" customHeight="1">
      <c r="D15" s="1">
        <v>40</v>
      </c>
    </row>
    <row r="16" spans="4:104" ht="13.5" hidden="1" customHeight="1">
      <c r="D16" s="1">
        <v>40</v>
      </c>
    </row>
    <row r="17" spans="2:103" ht="13.5" hidden="1" customHeight="1">
      <c r="D17" s="1">
        <v>40</v>
      </c>
    </row>
    <row r="18" spans="2:103" ht="13.5" hidden="1" customHeight="1">
      <c r="D18" s="1">
        <v>40</v>
      </c>
    </row>
    <row r="19" spans="2:103" ht="13.5" hidden="1" customHeight="1">
      <c r="D19" s="1">
        <v>40</v>
      </c>
    </row>
    <row r="20" spans="2:103" ht="18" customHeight="1">
      <c r="D20" s="1">
        <v>24</v>
      </c>
    </row>
    <row r="21" spans="2:103" ht="42" customHeight="1">
      <c r="D21" s="1">
        <v>56</v>
      </c>
      <c r="AB21" s="861" t="str">
        <f>ORG</f>
        <v>МУП "Горэлектросети"</v>
      </c>
      <c r="AC21" s="781"/>
      <c r="AD21" s="781"/>
    </row>
    <row r="22" spans="2:103" ht="13.5" customHeight="1">
      <c r="D22" s="1">
        <v>18</v>
      </c>
      <c r="AB22" s="1214" t="s">
        <v>2356</v>
      </c>
      <c r="AC22" s="1214"/>
    </row>
    <row r="23" spans="2:103" ht="3" customHeight="1">
      <c r="D23" s="1">
        <v>4</v>
      </c>
      <c r="AB23" s="1215"/>
      <c r="AC23" s="1215"/>
      <c r="AF23" s="440"/>
      <c r="AG23" s="440"/>
      <c r="AH23" s="440"/>
      <c r="AI23" s="440"/>
      <c r="AJ23" s="440"/>
      <c r="AK23" s="440"/>
      <c r="AL23" s="440"/>
      <c r="AM23" s="440"/>
      <c r="AN23" s="440"/>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c r="CO23" s="433"/>
      <c r="CP23" s="433"/>
      <c r="CQ23" s="433"/>
      <c r="CR23" s="433"/>
      <c r="CS23" s="433"/>
      <c r="CT23" s="433"/>
      <c r="CU23" s="433"/>
      <c r="CV23" s="433"/>
      <c r="CW23" s="433"/>
      <c r="CX23" s="433"/>
      <c r="CY23" s="433"/>
    </row>
    <row r="24" spans="2:103" ht="17.25" customHeight="1">
      <c r="D24" s="1">
        <v>23</v>
      </c>
      <c r="AB24" s="1216" t="s">
        <v>329</v>
      </c>
      <c r="AC24" s="1148" t="s">
        <v>771</v>
      </c>
      <c r="AD24" s="176"/>
      <c r="AE24" s="176"/>
      <c r="AF24" s="1148" t="s">
        <v>1206</v>
      </c>
      <c r="AG24" s="1148"/>
      <c r="AH24" s="1148"/>
      <c r="AI24" s="1148"/>
      <c r="AJ24" s="1148"/>
      <c r="AK24" s="1148"/>
      <c r="AL24" s="1148"/>
      <c r="AM24" s="1148"/>
      <c r="AN24" s="1148"/>
      <c r="AO24" s="1148"/>
      <c r="AP24" s="1217" t="s">
        <v>2344</v>
      </c>
      <c r="AQ24" s="1217"/>
      <c r="AR24" s="1217"/>
      <c r="AS24" s="1217"/>
      <c r="AT24" s="1217"/>
      <c r="AU24" s="1217"/>
      <c r="AV24" s="1217"/>
      <c r="AW24" s="1217"/>
      <c r="AX24" s="1217"/>
      <c r="AY24" s="1217"/>
      <c r="AZ24" s="1217"/>
      <c r="BA24" s="1217"/>
      <c r="BB24" s="1217"/>
      <c r="BC24" s="1217"/>
      <c r="BD24" s="1217"/>
      <c r="BE24" s="1217"/>
      <c r="BF24" s="1217"/>
      <c r="BG24" s="1217"/>
      <c r="BH24" s="1217"/>
      <c r="BI24" s="1217"/>
      <c r="BJ24" s="1217"/>
      <c r="BK24" s="1217" t="s">
        <v>985</v>
      </c>
      <c r="BL24" s="1217"/>
      <c r="BM24" s="1217"/>
      <c r="BN24" s="1217"/>
      <c r="BO24" s="1217"/>
      <c r="BP24" s="1217"/>
      <c r="BQ24" s="1217"/>
      <c r="BR24" s="1217"/>
      <c r="BS24" s="1217"/>
      <c r="BT24" s="1217"/>
      <c r="BU24" s="1217"/>
      <c r="BV24" s="1217"/>
      <c r="BW24" s="1217"/>
      <c r="BX24" s="1217"/>
      <c r="BY24" s="1217"/>
      <c r="BZ24" s="1217"/>
      <c r="CA24" s="1217"/>
      <c r="CB24" s="1217"/>
      <c r="CC24" s="1217"/>
      <c r="CD24" s="1217"/>
      <c r="CE24" s="1217"/>
      <c r="CF24" s="1217"/>
      <c r="CG24" s="1217"/>
      <c r="CH24" s="1217"/>
      <c r="CI24" s="1148" t="s">
        <v>1022</v>
      </c>
      <c r="CJ24" s="1148" t="s">
        <v>1011</v>
      </c>
      <c r="CK24" s="1148" t="s">
        <v>1251</v>
      </c>
      <c r="CL24" s="1148" t="s">
        <v>2122</v>
      </c>
      <c r="CM24" s="1148"/>
      <c r="CN24" s="1148" t="s">
        <v>2357</v>
      </c>
      <c r="CO24" s="1148" t="s">
        <v>2358</v>
      </c>
      <c r="CP24" s="1148" t="s">
        <v>2359</v>
      </c>
      <c r="CQ24" s="1148" t="s">
        <v>2360</v>
      </c>
      <c r="CR24" s="1148" t="s">
        <v>2361</v>
      </c>
      <c r="CS24" s="1148" t="s">
        <v>2362</v>
      </c>
      <c r="CT24" s="1148" t="s">
        <v>1145</v>
      </c>
      <c r="CU24" s="1148" t="s">
        <v>2122</v>
      </c>
      <c r="CV24" s="1148"/>
      <c r="CW24" s="1148" t="s">
        <v>2363</v>
      </c>
      <c r="CX24" s="1148" t="s">
        <v>2364</v>
      </c>
    </row>
    <row r="25" spans="2:103" ht="13.5" customHeight="1">
      <c r="D25" s="1">
        <v>18</v>
      </c>
      <c r="AB25" s="1216"/>
      <c r="AC25" s="1148"/>
      <c r="AD25" s="176"/>
      <c r="AE25" s="176"/>
      <c r="AF25" s="1217" t="s">
        <v>2347</v>
      </c>
      <c r="AG25" s="1217" t="s">
        <v>1048</v>
      </c>
      <c r="AH25" s="1217" t="s">
        <v>2365</v>
      </c>
      <c r="AI25" s="1217" t="s">
        <v>175</v>
      </c>
      <c r="AJ25" s="1217" t="s">
        <v>183</v>
      </c>
      <c r="AK25" s="1217" t="s">
        <v>188</v>
      </c>
      <c r="AL25" s="1217" t="s">
        <v>194</v>
      </c>
      <c r="AM25" s="1217" t="s">
        <v>1049</v>
      </c>
      <c r="AN25" s="1148" t="s">
        <v>1050</v>
      </c>
      <c r="AO25" s="1148" t="s">
        <v>951</v>
      </c>
      <c r="AP25" s="1148" t="s">
        <v>758</v>
      </c>
      <c r="AQ25" s="1148" t="s">
        <v>760</v>
      </c>
      <c r="AR25" s="1148" t="s">
        <v>761</v>
      </c>
      <c r="AS25" s="1148" t="s">
        <v>560</v>
      </c>
      <c r="AT25" s="1148" t="s">
        <v>1057</v>
      </c>
      <c r="AU25" s="1148" t="s">
        <v>1059</v>
      </c>
      <c r="AV25" s="1148" t="s">
        <v>964</v>
      </c>
      <c r="AW25" s="1148" t="s">
        <v>1224</v>
      </c>
      <c r="AX25" s="1148" t="s">
        <v>1064</v>
      </c>
      <c r="AY25" s="1148" t="s">
        <v>1066</v>
      </c>
      <c r="AZ25" s="1148" t="s">
        <v>1068</v>
      </c>
      <c r="BA25" s="1148" t="s">
        <v>1070</v>
      </c>
      <c r="BB25" s="1148" t="s">
        <v>1072</v>
      </c>
      <c r="BC25" s="1148" t="s">
        <v>970</v>
      </c>
      <c r="BD25" s="1148" t="s">
        <v>1075</v>
      </c>
      <c r="BE25" s="1148" t="s">
        <v>972</v>
      </c>
      <c r="BF25" s="1148" t="s">
        <v>973</v>
      </c>
      <c r="BG25" s="1148" t="s">
        <v>975</v>
      </c>
      <c r="BH25" s="1148" t="s">
        <v>998</v>
      </c>
      <c r="BI25" s="1148" t="s">
        <v>1082</v>
      </c>
      <c r="BJ25" s="1148" t="s">
        <v>1083</v>
      </c>
      <c r="BK25" s="1148" t="s">
        <v>1087</v>
      </c>
      <c r="BL25" s="1159" t="s">
        <v>2122</v>
      </c>
      <c r="BM25" s="1218"/>
      <c r="BN25" s="1148" t="s">
        <v>575</v>
      </c>
      <c r="BO25" s="1148" t="s">
        <v>1235</v>
      </c>
      <c r="BP25" s="1148" t="s">
        <v>1236</v>
      </c>
      <c r="BQ25" s="1148" t="s">
        <v>1237</v>
      </c>
      <c r="BR25" s="1148" t="s">
        <v>1238</v>
      </c>
      <c r="BS25" s="1148" t="s">
        <v>480</v>
      </c>
      <c r="BT25" s="1148" t="s">
        <v>1103</v>
      </c>
      <c r="BU25" s="1148" t="s">
        <v>1105</v>
      </c>
      <c r="BV25" s="1148" t="s">
        <v>577</v>
      </c>
      <c r="BW25" s="1217" t="s">
        <v>2317</v>
      </c>
      <c r="BX25" s="1217" t="s">
        <v>2324</v>
      </c>
      <c r="BY25" s="1217" t="s">
        <v>2348</v>
      </c>
      <c r="BZ25" s="1217" t="s">
        <v>2349</v>
      </c>
      <c r="CA25" s="1148" t="s">
        <v>1239</v>
      </c>
      <c r="CB25" s="1148" t="s">
        <v>1241</v>
      </c>
      <c r="CC25" s="1148" t="s">
        <v>1111</v>
      </c>
      <c r="CD25" s="1148" t="s">
        <v>1113</v>
      </c>
      <c r="CE25" s="1148" t="s">
        <v>996</v>
      </c>
      <c r="CF25" s="1148" t="s">
        <v>1242</v>
      </c>
      <c r="CG25" s="1148" t="s">
        <v>1125</v>
      </c>
      <c r="CH25" s="1148" t="s">
        <v>1126</v>
      </c>
      <c r="CI25" s="1148"/>
      <c r="CJ25" s="1148"/>
      <c r="CK25" s="1148"/>
      <c r="CL25" s="1148"/>
      <c r="CM25" s="1148"/>
      <c r="CN25" s="1148"/>
      <c r="CO25" s="1148"/>
      <c r="CP25" s="1148"/>
      <c r="CQ25" s="1148"/>
      <c r="CR25" s="1148"/>
      <c r="CS25" s="1148"/>
      <c r="CT25" s="1148"/>
      <c r="CU25" s="1148"/>
      <c r="CV25" s="1148"/>
      <c r="CW25" s="1148"/>
      <c r="CX25" s="1219"/>
    </row>
    <row r="26" spans="2:103" ht="87" customHeight="1">
      <c r="D26" s="1">
        <v>116</v>
      </c>
      <c r="AB26" s="1216"/>
      <c r="AC26" s="1148"/>
      <c r="AD26" s="176" t="s">
        <v>2366</v>
      </c>
      <c r="AE26" s="176" t="s">
        <v>2367</v>
      </c>
      <c r="AF26" s="1217"/>
      <c r="AG26" s="1217"/>
      <c r="AH26" s="1217"/>
      <c r="AI26" s="1217"/>
      <c r="AJ26" s="1217"/>
      <c r="AK26" s="1217"/>
      <c r="AL26" s="1217"/>
      <c r="AM26" s="1217"/>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76" t="s">
        <v>2350</v>
      </c>
      <c r="BM26" s="176" t="s">
        <v>2351</v>
      </c>
      <c r="BN26" s="1148"/>
      <c r="BO26" s="1148"/>
      <c r="BP26" s="1148"/>
      <c r="BQ26" s="1148"/>
      <c r="BR26" s="1148"/>
      <c r="BS26" s="1148"/>
      <c r="BT26" s="1148"/>
      <c r="BU26" s="1148"/>
      <c r="BV26" s="1148"/>
      <c r="BW26" s="1217"/>
      <c r="BX26" s="1217"/>
      <c r="BY26" s="1217"/>
      <c r="BZ26" s="1217"/>
      <c r="CA26" s="1148"/>
      <c r="CB26" s="1148"/>
      <c r="CC26" s="1148"/>
      <c r="CD26" s="1148"/>
      <c r="CE26" s="1148"/>
      <c r="CF26" s="1148"/>
      <c r="CG26" s="1148"/>
      <c r="CH26" s="1148"/>
      <c r="CI26" s="1148"/>
      <c r="CJ26" s="1148"/>
      <c r="CK26" s="1148"/>
      <c r="CL26" s="176" t="s">
        <v>2368</v>
      </c>
      <c r="CM26" s="176" t="s">
        <v>2369</v>
      </c>
      <c r="CN26" s="1148"/>
      <c r="CO26" s="1148"/>
      <c r="CP26" s="1148"/>
      <c r="CQ26" s="1148"/>
      <c r="CR26" s="1148"/>
      <c r="CS26" s="1148"/>
      <c r="CT26" s="1148"/>
      <c r="CU26" s="176" t="s">
        <v>2370</v>
      </c>
      <c r="CV26" s="176" t="s">
        <v>2371</v>
      </c>
      <c r="CW26" s="1148"/>
      <c r="CX26" s="1219"/>
    </row>
    <row r="27" spans="2:103" ht="13.5" customHeight="1">
      <c r="D27" s="1">
        <v>18</v>
      </c>
      <c r="AB27" s="1216"/>
      <c r="AC27" s="1148"/>
      <c r="AD27" s="176"/>
      <c r="AE27" s="176"/>
      <c r="AF27" s="174" t="s">
        <v>633</v>
      </c>
      <c r="AG27" s="174" t="s">
        <v>633</v>
      </c>
      <c r="AH27" s="174" t="s">
        <v>696</v>
      </c>
      <c r="AI27" s="174" t="s">
        <v>696</v>
      </c>
      <c r="AJ27" s="174" t="s">
        <v>696</v>
      </c>
      <c r="AK27" s="174" t="s">
        <v>696</v>
      </c>
      <c r="AL27" s="174" t="s">
        <v>696</v>
      </c>
      <c r="AM27" s="174" t="s">
        <v>633</v>
      </c>
      <c r="AN27" s="176"/>
      <c r="AO27" s="176"/>
      <c r="AP27" s="176" t="s">
        <v>1218</v>
      </c>
      <c r="AQ27" s="176" t="s">
        <v>1218</v>
      </c>
      <c r="AR27" s="176" t="s">
        <v>1218</v>
      </c>
      <c r="AS27" s="176" t="s">
        <v>1218</v>
      </c>
      <c r="AT27" s="176" t="s">
        <v>1218</v>
      </c>
      <c r="AU27" s="176" t="s">
        <v>1218</v>
      </c>
      <c r="AV27" s="176" t="s">
        <v>1218</v>
      </c>
      <c r="AW27" s="176" t="s">
        <v>1218</v>
      </c>
      <c r="AX27" s="176" t="s">
        <v>1218</v>
      </c>
      <c r="AY27" s="176" t="s">
        <v>1218</v>
      </c>
      <c r="AZ27" s="176" t="s">
        <v>1218</v>
      </c>
      <c r="BA27" s="176" t="s">
        <v>1218</v>
      </c>
      <c r="BB27" s="176" t="s">
        <v>1218</v>
      </c>
      <c r="BC27" s="176" t="s">
        <v>1218</v>
      </c>
      <c r="BD27" s="176" t="s">
        <v>1218</v>
      </c>
      <c r="BE27" s="176" t="s">
        <v>1218</v>
      </c>
      <c r="BF27" s="176" t="s">
        <v>1218</v>
      </c>
      <c r="BG27" s="176" t="s">
        <v>1218</v>
      </c>
      <c r="BH27" s="176" t="s">
        <v>1218</v>
      </c>
      <c r="BI27" s="176" t="s">
        <v>1218</v>
      </c>
      <c r="BJ27" s="176" t="s">
        <v>1218</v>
      </c>
      <c r="BK27" s="176" t="s">
        <v>1218</v>
      </c>
      <c r="BL27" s="176" t="s">
        <v>1218</v>
      </c>
      <c r="BM27" s="176" t="s">
        <v>1218</v>
      </c>
      <c r="BN27" s="176" t="s">
        <v>1218</v>
      </c>
      <c r="BO27" s="176" t="s">
        <v>1218</v>
      </c>
      <c r="BP27" s="176" t="s">
        <v>1218</v>
      </c>
      <c r="BQ27" s="176" t="s">
        <v>1218</v>
      </c>
      <c r="BR27" s="176" t="s">
        <v>1218</v>
      </c>
      <c r="BS27" s="176" t="s">
        <v>1218</v>
      </c>
      <c r="BT27" s="176" t="s">
        <v>1218</v>
      </c>
      <c r="BU27" s="176" t="s">
        <v>1218</v>
      </c>
      <c r="BV27" s="176" t="s">
        <v>1218</v>
      </c>
      <c r="BW27" s="176"/>
      <c r="BX27" s="176"/>
      <c r="BY27" s="176"/>
      <c r="BZ27" s="176"/>
      <c r="CA27" s="176" t="s">
        <v>1218</v>
      </c>
      <c r="CB27" s="176" t="s">
        <v>1218</v>
      </c>
      <c r="CC27" s="176" t="s">
        <v>1218</v>
      </c>
      <c r="CD27" s="176" t="s">
        <v>1218</v>
      </c>
      <c r="CE27" s="176" t="s">
        <v>1218</v>
      </c>
      <c r="CF27" s="176" t="s">
        <v>1218</v>
      </c>
      <c r="CG27" s="176" t="s">
        <v>633</v>
      </c>
      <c r="CH27" s="176" t="s">
        <v>1218</v>
      </c>
      <c r="CI27" s="176" t="s">
        <v>1218</v>
      </c>
      <c r="CJ27" s="176" t="s">
        <v>1218</v>
      </c>
      <c r="CK27" s="176" t="s">
        <v>1218</v>
      </c>
      <c r="CL27" s="176" t="s">
        <v>1218</v>
      </c>
      <c r="CM27" s="176" t="s">
        <v>1218</v>
      </c>
      <c r="CN27" s="176" t="s">
        <v>633</v>
      </c>
      <c r="CO27" s="176" t="s">
        <v>633</v>
      </c>
      <c r="CP27" s="176" t="s">
        <v>916</v>
      </c>
      <c r="CQ27" s="176" t="s">
        <v>916</v>
      </c>
      <c r="CR27" s="176" t="s">
        <v>1033</v>
      </c>
      <c r="CS27" s="176" t="s">
        <v>633</v>
      </c>
      <c r="CT27" s="176" t="s">
        <v>1218</v>
      </c>
      <c r="CU27" s="176" t="s">
        <v>1218</v>
      </c>
      <c r="CV27" s="176" t="s">
        <v>1218</v>
      </c>
      <c r="CW27" s="176" t="s">
        <v>633</v>
      </c>
      <c r="CX27" s="176" t="s">
        <v>639</v>
      </c>
    </row>
    <row r="28" spans="2:103" ht="15.75" customHeight="1">
      <c r="D28" s="1">
        <v>21</v>
      </c>
      <c r="AB28" s="157" t="s">
        <v>2372</v>
      </c>
      <c r="AC28" s="157" t="s">
        <v>2373</v>
      </c>
      <c r="AD28" s="157"/>
      <c r="AE28" s="157"/>
      <c r="AF28" s="157" t="s">
        <v>2374</v>
      </c>
      <c r="AG28" s="157" t="s">
        <v>2375</v>
      </c>
      <c r="AH28" s="157" t="s">
        <v>2376</v>
      </c>
      <c r="AI28" s="157" t="s">
        <v>2377</v>
      </c>
      <c r="AJ28" s="157" t="s">
        <v>2378</v>
      </c>
      <c r="AK28" s="157" t="s">
        <v>2379</v>
      </c>
      <c r="AL28" s="157" t="s">
        <v>2380</v>
      </c>
      <c r="AM28" s="157" t="s">
        <v>2381</v>
      </c>
      <c r="AN28" s="157" t="s">
        <v>2382</v>
      </c>
      <c r="AO28" s="157" t="s">
        <v>2383</v>
      </c>
      <c r="AP28" s="11" t="s">
        <v>618</v>
      </c>
      <c r="AQ28" s="11" t="s">
        <v>930</v>
      </c>
      <c r="AR28" s="11" t="s">
        <v>931</v>
      </c>
      <c r="AS28" s="11" t="s">
        <v>622</v>
      </c>
      <c r="AT28" s="11" t="s">
        <v>625</v>
      </c>
      <c r="AU28" s="11" t="s">
        <v>1221</v>
      </c>
      <c r="AV28" s="11" t="s">
        <v>1222</v>
      </c>
      <c r="AW28" s="11" t="s">
        <v>1223</v>
      </c>
      <c r="AX28" s="11" t="s">
        <v>1225</v>
      </c>
      <c r="AY28" s="11" t="s">
        <v>1226</v>
      </c>
      <c r="AZ28" s="11" t="s">
        <v>1227</v>
      </c>
      <c r="BA28" s="11" t="s">
        <v>1228</v>
      </c>
      <c r="BB28" s="11" t="s">
        <v>1229</v>
      </c>
      <c r="BC28" s="11" t="s">
        <v>1230</v>
      </c>
      <c r="BD28" s="11" t="s">
        <v>1231</v>
      </c>
      <c r="BE28" s="11" t="s">
        <v>1232</v>
      </c>
      <c r="BF28" s="11" t="s">
        <v>1233</v>
      </c>
      <c r="BG28" s="11" t="s">
        <v>1234</v>
      </c>
      <c r="BH28" s="11" t="s">
        <v>628</v>
      </c>
      <c r="BI28" s="11" t="s">
        <v>902</v>
      </c>
      <c r="BJ28" s="11" t="s">
        <v>903</v>
      </c>
      <c r="BK28" s="11" t="s">
        <v>632</v>
      </c>
      <c r="BL28" s="11" t="s">
        <v>955</v>
      </c>
      <c r="BM28" s="11" t="s">
        <v>956</v>
      </c>
      <c r="BN28" s="11" t="s">
        <v>762</v>
      </c>
      <c r="BO28" s="11" t="s">
        <v>763</v>
      </c>
      <c r="BP28" s="11" t="s">
        <v>764</v>
      </c>
      <c r="BQ28" s="11" t="s">
        <v>765</v>
      </c>
      <c r="BR28" s="11" t="s">
        <v>767</v>
      </c>
      <c r="BS28" s="11" t="s">
        <v>768</v>
      </c>
      <c r="BT28" s="11" t="s">
        <v>769</v>
      </c>
      <c r="BU28" s="11" t="s">
        <v>770</v>
      </c>
      <c r="BV28" s="11" t="s">
        <v>907</v>
      </c>
      <c r="CA28" s="11" t="s">
        <v>908</v>
      </c>
      <c r="CB28" s="11" t="s">
        <v>1240</v>
      </c>
      <c r="CC28" s="11" t="s">
        <v>909</v>
      </c>
      <c r="CD28" s="11" t="s">
        <v>910</v>
      </c>
      <c r="CE28" s="11" t="s">
        <v>982</v>
      </c>
      <c r="CF28" s="11" t="s">
        <v>983</v>
      </c>
      <c r="CG28" s="11" t="s">
        <v>1243</v>
      </c>
      <c r="CH28" s="11" t="s">
        <v>1856</v>
      </c>
      <c r="CI28" s="11" t="s">
        <v>532</v>
      </c>
      <c r="CJ28" s="11" t="s">
        <v>2384</v>
      </c>
      <c r="CK28" s="11" t="s">
        <v>534</v>
      </c>
      <c r="CL28" s="11" t="s">
        <v>665</v>
      </c>
      <c r="CM28" s="11" t="s">
        <v>679</v>
      </c>
      <c r="CN28" s="11" t="s">
        <v>536</v>
      </c>
      <c r="CO28" s="11" t="s">
        <v>541</v>
      </c>
      <c r="CP28" s="11" t="s">
        <v>543</v>
      </c>
      <c r="CQ28" s="11" t="s">
        <v>548</v>
      </c>
      <c r="CR28" s="11" t="s">
        <v>550</v>
      </c>
      <c r="CS28" s="11" t="s">
        <v>551</v>
      </c>
      <c r="CT28" s="11" t="s">
        <v>552</v>
      </c>
      <c r="CU28" s="11" t="s">
        <v>2385</v>
      </c>
      <c r="CV28" s="11" t="s">
        <v>2386</v>
      </c>
      <c r="CW28" s="11" t="s">
        <v>553</v>
      </c>
      <c r="CX28" s="11" t="s">
        <v>554</v>
      </c>
    </row>
    <row r="29" spans="2:103" ht="15.75" customHeight="1">
      <c r="D29" s="1">
        <v>21</v>
      </c>
      <c r="AB29" s="1211" t="str">
        <f>IF(ORG&lt;&gt;0,ORG,"")</f>
        <v>МУП "Горэлектросети"</v>
      </c>
      <c r="AC29" s="573">
        <f>IFERROR(AC30-1,0)</f>
        <v>2025</v>
      </c>
      <c r="AD29" s="574" t="s">
        <v>2387</v>
      </c>
      <c r="AE29" s="574" t="str">
        <f t="shared" ref="AE29:AE34" si="0">IFERROR(AD29&amp;AC29,0)</f>
        <v>план2025</v>
      </c>
      <c r="AF29" s="575"/>
      <c r="AG29" s="575"/>
      <c r="AH29" s="576">
        <f t="shared" ref="AH29:AH34" si="1">IFERROR(SUM(AI29:AL29),0)</f>
        <v>0</v>
      </c>
      <c r="AI29" s="577"/>
      <c r="AJ29" s="577"/>
      <c r="AK29" s="577"/>
      <c r="AL29" s="577"/>
      <c r="AM29" s="578"/>
      <c r="AN29" s="578"/>
      <c r="AO29" s="579"/>
      <c r="AP29" s="580">
        <f t="shared" ref="AP29:AP34" si="2">IFERROR(SUM(AQ29:AR29),0)</f>
        <v>0</v>
      </c>
      <c r="AQ29" s="577"/>
      <c r="AR29" s="577"/>
      <c r="AS29" s="577"/>
      <c r="AT29" s="580">
        <f t="shared" ref="AT29:AT34" si="3">IFERROR(AU29+AV29+BC29+BD29+BE29+BF29+BG29+BH29+BI29,0)</f>
        <v>0</v>
      </c>
      <c r="AU29" s="577"/>
      <c r="AV29" s="580">
        <f t="shared" ref="AV29:AV34" si="4">IFERROR(SUM(AW29:BB29),0)</f>
        <v>0</v>
      </c>
      <c r="AW29" s="577"/>
      <c r="AX29" s="577"/>
      <c r="AY29" s="577"/>
      <c r="AZ29" s="577"/>
      <c r="BA29" s="577"/>
      <c r="BB29" s="577"/>
      <c r="BC29" s="577"/>
      <c r="BD29" s="577"/>
      <c r="BE29" s="577"/>
      <c r="BF29" s="577"/>
      <c r="BG29" s="577"/>
      <c r="BH29" s="577"/>
      <c r="BI29" s="577"/>
      <c r="BJ29" s="576">
        <f t="shared" ref="BJ29:BJ34" si="5">IFERROR(AP29+AS29+AT29,0)</f>
        <v>0</v>
      </c>
      <c r="BK29" s="580">
        <f t="shared" ref="BK29:BK34" si="6">IFERROR(BL29+BM29,0)</f>
        <v>0</v>
      </c>
      <c r="BL29" s="577"/>
      <c r="BM29" s="577">
        <f>BL29</f>
        <v>0</v>
      </c>
      <c r="BN29" s="577"/>
      <c r="BO29" s="577"/>
      <c r="BP29" s="577"/>
      <c r="BQ29" s="580">
        <f t="shared" ref="BQ29:BQ34" si="7">IFERROR(SUM(BR29:BT29),0)</f>
        <v>0</v>
      </c>
      <c r="BR29" s="577"/>
      <c r="BS29" s="577"/>
      <c r="BT29" s="577"/>
      <c r="BU29" s="577"/>
      <c r="BV29" s="580">
        <f t="shared" ref="BV29:BV34" si="8">BW29+BX29+BZ29</f>
        <v>0</v>
      </c>
      <c r="BW29" s="577"/>
      <c r="BX29" s="577"/>
      <c r="BY29" s="577"/>
      <c r="BZ29" s="577"/>
      <c r="CA29" s="577"/>
      <c r="CB29" s="577">
        <f>CE29/0.8*0.2</f>
        <v>0</v>
      </c>
      <c r="CC29" s="577"/>
      <c r="CD29" s="577"/>
      <c r="CE29" s="577"/>
      <c r="CF29" s="577"/>
      <c r="CG29" s="581"/>
      <c r="CH29" s="576">
        <f t="shared" ref="CH29:CH34" si="9">IFERROR(BK29+BN29+BO29+BQ29+BV29+CA29+CC29+BU29+CD29+CE29+CF29,0)</f>
        <v>0</v>
      </c>
      <c r="CI29" s="577"/>
      <c r="CJ29" s="578"/>
      <c r="CK29" s="576">
        <f t="shared" ref="CK29:CK34" si="10">IFERROR(SUM(CH29,CI29,BJ29,CJ29),0)</f>
        <v>0</v>
      </c>
      <c r="CL29" s="578"/>
      <c r="CM29" s="576">
        <f t="shared" ref="CM29:CM34" si="11">IFERROR(CK29-CL29,0)</f>
        <v>0</v>
      </c>
      <c r="CN29" s="575">
        <f t="shared" ref="CN29:CN34" si="12">IFERROR((CM29+CL29)/CK29,0)</f>
        <v>0</v>
      </c>
      <c r="CO29" s="582"/>
      <c r="CP29" s="577"/>
      <c r="CQ29" s="577"/>
      <c r="CR29" s="577">
        <f>IFERROR(#REF!,0)</f>
        <v>0</v>
      </c>
      <c r="CS29" s="583">
        <f t="shared" ref="CS29:CS34" si="13">IFERROR(IF(CP29=0,0,CQ29/CP29),0)</f>
        <v>0</v>
      </c>
      <c r="CT29" s="584">
        <f t="shared" ref="CT29:CT34" si="14">IFERROR(CQ29*CR29,0)</f>
        <v>0</v>
      </c>
      <c r="CU29" s="578"/>
      <c r="CV29" s="585">
        <f t="shared" ref="CV29:CV34" si="15">IFERROR(CT29-CU29,0)</f>
        <v>0</v>
      </c>
      <c r="CW29" s="582"/>
      <c r="CX29" s="577"/>
    </row>
    <row r="30" spans="2:103" ht="15.75" customHeight="1">
      <c r="D30" s="1">
        <v>21</v>
      </c>
      <c r="AB30" s="1212"/>
      <c r="AC30" s="586">
        <f>FIRST_PERIOD_IN_LT</f>
        <v>2026</v>
      </c>
      <c r="AD30" s="574" t="s">
        <v>2387</v>
      </c>
      <c r="AE30" s="574" t="str">
        <f t="shared" si="0"/>
        <v>план2026</v>
      </c>
      <c r="AF30" s="587">
        <f>IFERROR(VLOOKUP(AE30,PEREDACHA.XX.FACT.EXPENSES!$AD$28:$AK$42,2,0),0)</f>
        <v>0</v>
      </c>
      <c r="AG30" s="587"/>
      <c r="AH30" s="222">
        <f t="shared" si="1"/>
        <v>0</v>
      </c>
      <c r="AI30" s="106">
        <f>IFERROR(VLOOKUP($AE30,PEREDACHA.XX.FACT.EXPENSES!$AD$28:$AM$42,5,0),0)</f>
        <v>0</v>
      </c>
      <c r="AJ30" s="106">
        <f>IFERROR(VLOOKUP($AE30,PEREDACHA.XX.FACT.EXPENSES!$AD$28:$AM$42,6,0),0)</f>
        <v>0</v>
      </c>
      <c r="AK30" s="106">
        <f>IFERROR(VLOOKUP($AE30,PEREDACHA.XX.FACT.EXPENSES!$AD$28:$AM$42,7,0),0)</f>
        <v>0</v>
      </c>
      <c r="AL30" s="106">
        <f>IFERROR(VLOOKUP($AE30,PEREDACHA.XX.FACT.EXPENSES!$AD$28:$AM$42,8,0),0)</f>
        <v>0</v>
      </c>
      <c r="AM30" s="223">
        <f>IFERROR(IF(AH29=0,0,(AH30-AH29)/AH29),0)</f>
        <v>0</v>
      </c>
      <c r="AN30" s="106">
        <f>IFERROR(VLOOKUP($AE30,PEREDACHA.XX.FACT.EXPENSES!$AD$28:$AM$42,10,0),0)</f>
        <v>0</v>
      </c>
      <c r="AO30" s="588"/>
      <c r="AP30" s="204">
        <f t="shared" si="2"/>
        <v>0</v>
      </c>
      <c r="AQ30" s="106">
        <f>IFERROR(VLOOKUP($AE30,PEREDACHA.XX.FACT.EXPENSES!$AD$28:$BH$42,13,0),0)</f>
        <v>0</v>
      </c>
      <c r="AR30" s="106">
        <f>IFERROR(VLOOKUP($AE30,PEREDACHA.XX.FACT.EXPENSES!$AD$28:$BH$42,14,0),0)</f>
        <v>0</v>
      </c>
      <c r="AS30" s="106">
        <f>IFERROR(VLOOKUP($AE30,PEREDACHA.XX.FACT.EXPENSES!$AD$28:$BH$42,15,0),0)</f>
        <v>0</v>
      </c>
      <c r="AT30" s="204">
        <f t="shared" si="3"/>
        <v>0</v>
      </c>
      <c r="AU30" s="106">
        <f>IFERROR(VLOOKUP($AE30,PEREDACHA.XX.FACT.EXPENSES!$AD$28:$BH$42,17,0),0)</f>
        <v>0</v>
      </c>
      <c r="AV30" s="204">
        <f t="shared" si="4"/>
        <v>0</v>
      </c>
      <c r="AW30" s="106">
        <f>IFERROR(VLOOKUP($AE30,PEREDACHA.XX.FACT.EXPENSES!$AD$28:$BH$42,19,0),0)</f>
        <v>0</v>
      </c>
      <c r="AX30" s="106">
        <f>IFERROR(VLOOKUP($AE30,PEREDACHA.XX.FACT.EXPENSES!$AD$28:$BH$42,20,0),0)</f>
        <v>0</v>
      </c>
      <c r="AY30" s="106">
        <f>IFERROR(VLOOKUP($AE30,PEREDACHA.XX.FACT.EXPENSES!$AD$28:$BH$42,21,0),0)</f>
        <v>0</v>
      </c>
      <c r="AZ30" s="106">
        <f>IFERROR(VLOOKUP($AE30,PEREDACHA.XX.FACT.EXPENSES!$AD$28:$BH$42,22,0),0)</f>
        <v>0</v>
      </c>
      <c r="BA30" s="106">
        <f>IFERROR(VLOOKUP($AE30,PEREDACHA.XX.FACT.EXPENSES!$AD$28:$BH$42,23,0),0)</f>
        <v>0</v>
      </c>
      <c r="BB30" s="106">
        <f>IFERROR(VLOOKUP($AE30,PEREDACHA.XX.FACT.EXPENSES!$AD$28:$BH$42,24,0),0)</f>
        <v>0</v>
      </c>
      <c r="BC30" s="106">
        <f>IFERROR(VLOOKUP($AE30,PEREDACHA.XX.FACT.EXPENSES!$AD$28:$BH$42,25,0),0)</f>
        <v>0</v>
      </c>
      <c r="BD30" s="106">
        <f>IFERROR(VLOOKUP($AE30,PEREDACHA.XX.FACT.EXPENSES!$AD$28:$BH$42,26,0),0)</f>
        <v>0</v>
      </c>
      <c r="BE30" s="106">
        <f>IFERROR(VLOOKUP($AE30,PEREDACHA.XX.FACT.EXPENSES!$AD$28:$BH$42,27,0),0)</f>
        <v>0</v>
      </c>
      <c r="BF30" s="106">
        <f>IFERROR(VLOOKUP($AE30,PEREDACHA.XX.FACT.EXPENSES!$AD$28:$BH$42,28,0),0)</f>
        <v>0</v>
      </c>
      <c r="BG30" s="106">
        <f>IFERROR(VLOOKUP($AE30,PEREDACHA.XX.FACT.EXPENSES!$AD$28:$BH$42,29,0),0)</f>
        <v>0</v>
      </c>
      <c r="BH30" s="106">
        <f>IFERROR(VLOOKUP($AE30,PEREDACHA.XX.FACT.EXPENSES!$AD$28:$BH$42,30,0),0)</f>
        <v>0</v>
      </c>
      <c r="BI30" s="106">
        <f>IFERROR(VLOOKUP($AE30,PEREDACHA.XX.FACT.EXPENSES!$AD$28:$BH$42,31,0),0)</f>
        <v>0</v>
      </c>
      <c r="BJ30" s="222">
        <f t="shared" si="5"/>
        <v>0</v>
      </c>
      <c r="BK30" s="204">
        <f t="shared" si="6"/>
        <v>0</v>
      </c>
      <c r="BL30" s="106">
        <f>IFERROR(VLOOKUP($AE30,PEREDACHA.XX.FACT.EXPENSES!$AD$28:$CI$42,34,0),0)</f>
        <v>0</v>
      </c>
      <c r="BM30" s="106">
        <f>IFERROR(VLOOKUP($AE30,PEREDACHA.XX.FACT.EXPENSES!$AD$28:$CI$42,35,0),0)</f>
        <v>0</v>
      </c>
      <c r="BN30" s="106">
        <f>IFERROR(VLOOKUP($AE30,PEREDACHA.XX.FACT.EXPENSES!$AD$28:$CI$42,36,0),0)</f>
        <v>0</v>
      </c>
      <c r="BO30" s="106">
        <f>IFERROR(VLOOKUP($AE30,PEREDACHA.XX.FACT.EXPENSES!$AD$28:$CI$42,37,0),0)</f>
        <v>0</v>
      </c>
      <c r="BP30" s="106">
        <f>IFERROR(VLOOKUP($AE30,PEREDACHA.XX.FACT.EXPENSES!$AD$28:$CI$42,38,0),0)</f>
        <v>0</v>
      </c>
      <c r="BQ30" s="204">
        <f t="shared" si="7"/>
        <v>0</v>
      </c>
      <c r="BR30" s="106">
        <f>IFERROR(VLOOKUP($AE30,PEREDACHA.XX.FACT.EXPENSES!$AD$28:$CI$42,40,0),0)</f>
        <v>0</v>
      </c>
      <c r="BS30" s="106">
        <f>IFERROR(VLOOKUP($AE30,PEREDACHA.XX.FACT.EXPENSES!$AD$28:$CI$42,41,0),0)</f>
        <v>0</v>
      </c>
      <c r="BT30" s="106">
        <f>IFERROR(VLOOKUP($AE30,PEREDACHA.XX.FACT.EXPENSES!$AD$28:$CI$42,42,0),0)</f>
        <v>0</v>
      </c>
      <c r="BU30" s="106">
        <f>IFERROR(VLOOKUP($AE30,PEREDACHA.XX.FACT.EXPENSES!$AD$28:$CI$42,43,0),0)</f>
        <v>0</v>
      </c>
      <c r="BV30" s="204">
        <f t="shared" si="8"/>
        <v>0</v>
      </c>
      <c r="BW30" s="106">
        <f>IFERROR(VLOOKUP($AE30,PEREDACHA.XX.FACT.EXPENSES!$AD$28:$CI$42,45,0),0)</f>
        <v>0</v>
      </c>
      <c r="BX30" s="106">
        <f>IFERROR(VLOOKUP($AE30,PEREDACHA.XX.FACT.EXPENSES!$AD$28:$CI$42,46,0),0)</f>
        <v>0</v>
      </c>
      <c r="BY30" s="106">
        <f>IFERROR(VLOOKUP($AE30,PEREDACHA.XX.FACT.EXPENSES!$AD$28:$CI$42,47,0),0)</f>
        <v>0</v>
      </c>
      <c r="BZ30" s="106">
        <f>IFERROR(VLOOKUP($AE30,PEREDACHA.XX.FACT.EXPENSES!$AD$28:$CI$42,48,0),0)</f>
        <v>0</v>
      </c>
      <c r="CA30" s="106">
        <f>IFERROR(VLOOKUP($AE30,PEREDACHA.XX.FACT.EXPENSES!$AD$28:$CI$42,49,0),0)</f>
        <v>0</v>
      </c>
      <c r="CB30" s="106">
        <f>IFERROR(VLOOKUP($AE30,PEREDACHA.XX.FACT.EXPENSES!$AD$28:$CI$42,50,0),0)</f>
        <v>0</v>
      </c>
      <c r="CC30" s="106">
        <f>IFERROR(VLOOKUP($AE30,PEREDACHA.XX.FACT.EXPENSES!$AD$28:$CI$42,51,0),0)</f>
        <v>0</v>
      </c>
      <c r="CD30" s="106">
        <f>IFERROR(VLOOKUP($AE30,PEREDACHA.XX.FACT.EXPENSES!$AD$28:$CI$42,52,0),0)</f>
        <v>0</v>
      </c>
      <c r="CE30" s="106">
        <f>IFERROR(VLOOKUP($AE30,PEREDACHA.XX.FACT.EXPENSES!$AD$28:$CI$42,53,0),0)</f>
        <v>0</v>
      </c>
      <c r="CF30" s="106">
        <f>IFERROR(VLOOKUP($AE30,PEREDACHA.XX.FACT.EXPENSES!$AD$28:$CI$42,54,0),0)</f>
        <v>0</v>
      </c>
      <c r="CG30" s="203">
        <f>IFERROR(((CE30+CF30)/(CK30-BK30-CB30-CE30-CF30-BP30)),0)</f>
        <v>0</v>
      </c>
      <c r="CH30" s="222">
        <f t="shared" si="9"/>
        <v>0</v>
      </c>
      <c r="CI30" s="204">
        <f>IFERROR(VLOOKUP($AE30,PEREDACHA.XX.FACT.EXPENSES!$AD$28:$CI$42,58,0),0)</f>
        <v>0</v>
      </c>
      <c r="CJ30" s="221">
        <f>IFERROR(VLOOKUP($AE30,PEREDACHA.XX.FACT.EXPENSES!$AD$28:$CJ$42,59,0),0)</f>
        <v>0</v>
      </c>
      <c r="CK30" s="222">
        <f t="shared" si="10"/>
        <v>0</v>
      </c>
      <c r="CL30" s="106"/>
      <c r="CM30" s="222">
        <f t="shared" si="11"/>
        <v>0</v>
      </c>
      <c r="CN30" s="587">
        <f t="shared" si="12"/>
        <v>0</v>
      </c>
      <c r="CO30" s="223">
        <f>IFERROR(((CK30-CK29)/CK29),0)</f>
        <v>0</v>
      </c>
      <c r="CP30" s="106"/>
      <c r="CQ30" s="106"/>
      <c r="CR30" s="106">
        <f>IFERROR(#REF!,0)</f>
        <v>0</v>
      </c>
      <c r="CS30" s="203">
        <f t="shared" si="13"/>
        <v>0</v>
      </c>
      <c r="CT30" s="589">
        <f t="shared" si="14"/>
        <v>0</v>
      </c>
      <c r="CU30" s="222">
        <f>IFERROR(#REF!,0)</f>
        <v>0</v>
      </c>
      <c r="CV30" s="590">
        <f t="shared" si="15"/>
        <v>0</v>
      </c>
      <c r="CW30" s="223">
        <f>IFERROR(((CT30-CT29)/CT29),0)</f>
        <v>0</v>
      </c>
      <c r="CX30" s="106"/>
    </row>
    <row r="31" spans="2:103" ht="24" hidden="1" customHeight="1">
      <c r="B31" s="3" t="b">
        <f>IFERROR(AND(REPORT_OWNER&lt;&gt;"Версия организации",AC31&lt;=FIRST_PERIOD_IN_LT+PERIOD_LENGTH-1),FALSE)</f>
        <v>0</v>
      </c>
      <c r="D31" s="1">
        <v>39</v>
      </c>
      <c r="AB31" s="1212"/>
      <c r="AC31" s="586">
        <f>IFERROR(AC30+1,0)</f>
        <v>2027</v>
      </c>
      <c r="AD31" s="591" t="s">
        <v>2387</v>
      </c>
      <c r="AE31" s="591" t="str">
        <f t="shared" si="0"/>
        <v>план2027</v>
      </c>
      <c r="AF31" s="223">
        <f>IFERROR(VLOOKUP(AE31,PEREDACHA.XX.FACT.EXPENSES!$AD$28:$AK$42,2,0),0)</f>
        <v>0</v>
      </c>
      <c r="AG31" s="223">
        <f>IFERROR(VLOOKUP(AE31,PEREDACHA.XX.FACT.EXPENSES!$AD$28:$AK$42,3,0),0)</f>
        <v>0</v>
      </c>
      <c r="AH31" s="222">
        <f t="shared" si="1"/>
        <v>0</v>
      </c>
      <c r="AI31" s="204">
        <f>IFERROR(VLOOKUP($AE31,PEREDACHA.XX.FACT.EXPENSES!$AD$28:$AM$42,5,0),0)</f>
        <v>0</v>
      </c>
      <c r="AJ31" s="204">
        <f>IFERROR(VLOOKUP($AE31,PEREDACHA.XX.FACT.EXPENSES!$AD$28:$AM$42,6,0),0)</f>
        <v>0</v>
      </c>
      <c r="AK31" s="204">
        <f>IFERROR(VLOOKUP($AE31,PEREDACHA.XX.FACT.EXPENSES!$AD$28:$AM$42,7,0),0)</f>
        <v>0</v>
      </c>
      <c r="AL31" s="204">
        <f>IFERROR(VLOOKUP($AE31,PEREDACHA.XX.FACT.EXPENSES!$AD$28:$AM$42,8,0),0)</f>
        <v>0</v>
      </c>
      <c r="AM31" s="223">
        <f>IFERROR(IF(AH30=0,0,(AH31-AH30)/AH30*AN31),0)</f>
        <v>0</v>
      </c>
      <c r="AN31" s="222">
        <f>AN30</f>
        <v>0</v>
      </c>
      <c r="AO31" s="592">
        <f>IFERROR((1+AF31)*(1-AG31)*(1+AM31),0)</f>
        <v>1</v>
      </c>
      <c r="AP31" s="204">
        <f t="shared" si="2"/>
        <v>0</v>
      </c>
      <c r="AQ31" s="204">
        <f t="shared" ref="AQ31:AS34" si="16">IFERROR(AQ30*$AO31,0)</f>
        <v>0</v>
      </c>
      <c r="AR31" s="204">
        <f t="shared" si="16"/>
        <v>0</v>
      </c>
      <c r="AS31" s="204">
        <f t="shared" si="16"/>
        <v>0</v>
      </c>
      <c r="AT31" s="204">
        <f t="shared" si="3"/>
        <v>0</v>
      </c>
      <c r="AU31" s="204">
        <f>IFERROR(AU30*$AO31,0)</f>
        <v>0</v>
      </c>
      <c r="AV31" s="204">
        <f t="shared" si="4"/>
        <v>0</v>
      </c>
      <c r="AW31" s="204">
        <f t="shared" ref="AW31:BI34" si="17">IFERROR(AW30*$AO31,0)</f>
        <v>0</v>
      </c>
      <c r="AX31" s="204">
        <f t="shared" si="17"/>
        <v>0</v>
      </c>
      <c r="AY31" s="204">
        <f t="shared" si="17"/>
        <v>0</v>
      </c>
      <c r="AZ31" s="204">
        <f t="shared" si="17"/>
        <v>0</v>
      </c>
      <c r="BA31" s="204">
        <f t="shared" si="17"/>
        <v>0</v>
      </c>
      <c r="BB31" s="204">
        <f t="shared" si="17"/>
        <v>0</v>
      </c>
      <c r="BC31" s="204">
        <f t="shared" si="17"/>
        <v>0</v>
      </c>
      <c r="BD31" s="204">
        <f t="shared" si="17"/>
        <v>0</v>
      </c>
      <c r="BE31" s="204">
        <f t="shared" si="17"/>
        <v>0</v>
      </c>
      <c r="BF31" s="204">
        <f t="shared" si="17"/>
        <v>0</v>
      </c>
      <c r="BG31" s="204">
        <f t="shared" si="17"/>
        <v>0</v>
      </c>
      <c r="BH31" s="204">
        <f t="shared" si="17"/>
        <v>0</v>
      </c>
      <c r="BI31" s="204">
        <f t="shared" si="17"/>
        <v>0</v>
      </c>
      <c r="BJ31" s="222">
        <f t="shared" si="5"/>
        <v>0</v>
      </c>
      <c r="BK31" s="204">
        <f t="shared" si="6"/>
        <v>0</v>
      </c>
      <c r="BL31" s="190">
        <f>IFERROR(VLOOKUP($AE31,PEREDACHA.XX.FACT.EXPENSES!$AD$28:$CI$42,34,0),0)</f>
        <v>0</v>
      </c>
      <c r="BM31" s="190">
        <f>IFERROR(VLOOKUP($AE31,PEREDACHA.XX.FACT.EXPENSES!$AD$28:$CI$42,35,0),0)</f>
        <v>0</v>
      </c>
      <c r="BN31" s="190">
        <f>IFERROR(VLOOKUP($AE31,PEREDACHA.XX.FACT.EXPENSES!$AD$28:$CI$42,36,0),0)</f>
        <v>0</v>
      </c>
      <c r="BO31" s="190">
        <f>IFERROR(VLOOKUP($AE31,PEREDACHA.XX.FACT.EXPENSES!$AD$28:$CI$42,37,0),0)</f>
        <v>0</v>
      </c>
      <c r="BP31" s="190">
        <f>IFERROR(VLOOKUP($AE31,PEREDACHA.XX.FACT.EXPENSES!$AD$28:$CI$42,38,0),0)</f>
        <v>0</v>
      </c>
      <c r="BQ31" s="207">
        <f t="shared" si="7"/>
        <v>0</v>
      </c>
      <c r="BR31" s="190">
        <f>IFERROR(VLOOKUP($AE31,PEREDACHA.XX.FACT.EXPENSES!$AD$28:$CI$42,40,0),0)</f>
        <v>0</v>
      </c>
      <c r="BS31" s="190">
        <f>IFERROR(VLOOKUP($AE31,PEREDACHA.XX.FACT.EXPENSES!$AD$28:$CI$42,41,0),0)</f>
        <v>0</v>
      </c>
      <c r="BT31" s="190">
        <f>IFERROR(VLOOKUP($AE31,PEREDACHA.XX.FACT.EXPENSES!$AD$28:$CI$42,42,0),0)</f>
        <v>0</v>
      </c>
      <c r="BU31" s="190">
        <f>IFERROR(VLOOKUP($AE31,PEREDACHA.XX.FACT.EXPENSES!$AD$28:$CI$42,43,0),0)</f>
        <v>0</v>
      </c>
      <c r="BV31" s="207">
        <f t="shared" si="8"/>
        <v>0</v>
      </c>
      <c r="BW31" s="190">
        <f>IFERROR(VLOOKUP($AE31,PEREDACHA.XX.FACT.EXPENSES!$AD$28:$CI$42,45,0),0)</f>
        <v>0</v>
      </c>
      <c r="BX31" s="190">
        <f>IFERROR(VLOOKUP($AE31,PEREDACHA.XX.FACT.EXPENSES!$AD$28:$CI$42,46,0),0)</f>
        <v>0</v>
      </c>
      <c r="BY31" s="190">
        <f>IFERROR(VLOOKUP($AE31,PEREDACHA.XX.FACT.EXPENSES!$AD$28:$CI$42,47,0),0)</f>
        <v>0</v>
      </c>
      <c r="BZ31" s="190">
        <f>IFERROR(VLOOKUP($AE31,PEREDACHA.XX.FACT.EXPENSES!$AD$28:$CI$42,48,0),0)</f>
        <v>0</v>
      </c>
      <c r="CA31" s="190">
        <f>IFERROR(VLOOKUP($AE31,PEREDACHA.XX.FACT.EXPENSES!$AD$28:$CI$42,49,0),0)</f>
        <v>0</v>
      </c>
      <c r="CB31" s="190">
        <f>IFERROR(VLOOKUP($AE31,PEREDACHA.XX.FACT.EXPENSES!$AD$28:$CI$42,50,0),0)</f>
        <v>0</v>
      </c>
      <c r="CC31" s="190">
        <f>IFERROR(VLOOKUP($AE31,PEREDACHA.XX.FACT.EXPENSES!$AD$28:$CI$42,51,0),0)</f>
        <v>0</v>
      </c>
      <c r="CD31" s="190">
        <f>IFERROR(VLOOKUP($AE31,PEREDACHA.XX.FACT.EXPENSES!$AD$28:$CI$42,52,0),0)</f>
        <v>0</v>
      </c>
      <c r="CE31" s="190">
        <f>IFERROR(VLOOKUP($AE31,PEREDACHA.XX.FACT.EXPENSES!$AD$28:$CI$42,53,0),0)</f>
        <v>0</v>
      </c>
      <c r="CF31" s="190">
        <f>IFERROR(VLOOKUP($AE31,PEREDACHA.XX.FACT.EXPENSES!$AD$28:$CI$42,54,0),0)</f>
        <v>0</v>
      </c>
      <c r="CG31" s="203">
        <f>IFERROR(((CE31+CF31)/(CK31-BK31-CB31-CE31-CF31-BP31)),0)</f>
        <v>0</v>
      </c>
      <c r="CH31" s="222">
        <f t="shared" si="9"/>
        <v>0</v>
      </c>
      <c r="CI31" s="204">
        <f>IFERROR(VLOOKUP($AE31,PEREDACHA.XX.FACT.EXPENSES!$AD$28:$CI$42,58,0),0)</f>
        <v>0</v>
      </c>
      <c r="CJ31" s="499">
        <f>IFERROR(VLOOKUP($AE31,PEREDACHA.XX.FACT.EXPENSES!$AD$28:$CJ$42,59,0),0)</f>
        <v>0</v>
      </c>
      <c r="CK31" s="222">
        <f t="shared" si="10"/>
        <v>0</v>
      </c>
      <c r="CL31" s="499"/>
      <c r="CM31" s="222">
        <f t="shared" si="11"/>
        <v>0</v>
      </c>
      <c r="CN31" s="593">
        <f t="shared" si="12"/>
        <v>0</v>
      </c>
      <c r="CO31" s="223">
        <f>IFERROR(((CK31-CK30)/CK30),0)</f>
        <v>0</v>
      </c>
      <c r="CP31" s="190"/>
      <c r="CQ31" s="594"/>
      <c r="CR31" s="594">
        <f>IFERROR(#REF!,0)</f>
        <v>0</v>
      </c>
      <c r="CS31" s="208">
        <f t="shared" si="13"/>
        <v>0</v>
      </c>
      <c r="CT31" s="243">
        <f t="shared" si="14"/>
        <v>0</v>
      </c>
      <c r="CU31" s="222">
        <f>IFERROR(#REF!,0)</f>
        <v>0</v>
      </c>
      <c r="CV31" s="590">
        <f t="shared" si="15"/>
        <v>0</v>
      </c>
      <c r="CW31" s="223">
        <f>IFERROR(((CT31-CT30)/CT30),0)</f>
        <v>0</v>
      </c>
      <c r="CX31" s="190"/>
    </row>
    <row r="32" spans="2:103" ht="24" hidden="1" customHeight="1">
      <c r="B32" s="3" t="b">
        <f>IFERROR(AND(REPORT_OWNER&lt;&gt;"Версия организации",AC32&lt;=FIRST_PERIOD_IN_LT+PERIOD_LENGTH-1),FALSE)</f>
        <v>0</v>
      </c>
      <c r="D32" s="1">
        <v>39</v>
      </c>
      <c r="AB32" s="1212"/>
      <c r="AC32" s="586">
        <f>IFERROR(AC31+1,0)</f>
        <v>2028</v>
      </c>
      <c r="AD32" s="591" t="s">
        <v>2387</v>
      </c>
      <c r="AE32" s="591" t="str">
        <f t="shared" si="0"/>
        <v>план2028</v>
      </c>
      <c r="AF32" s="223">
        <f>IFERROR(VLOOKUP(AE32,PEREDACHA.XX.FACT.EXPENSES!$AD$28:$AK$42,2,0),0)</f>
        <v>0</v>
      </c>
      <c r="AG32" s="223">
        <f>IFERROR(VLOOKUP(AE32,PEREDACHA.XX.FACT.EXPENSES!$AD$28:$AK$42,3,0),0)</f>
        <v>0</v>
      </c>
      <c r="AH32" s="222">
        <f t="shared" si="1"/>
        <v>0</v>
      </c>
      <c r="AI32" s="204">
        <f>IFERROR(VLOOKUP($AE32,PEREDACHA.XX.FACT.EXPENSES!$AD$28:$AM$42,5,0),0)</f>
        <v>0</v>
      </c>
      <c r="AJ32" s="204">
        <f>IFERROR(VLOOKUP($AE32,PEREDACHA.XX.FACT.EXPENSES!$AD$28:$AM$42,6,0),0)</f>
        <v>0</v>
      </c>
      <c r="AK32" s="204">
        <f>IFERROR(VLOOKUP($AE32,PEREDACHA.XX.FACT.EXPENSES!$AD$28:$AM$42,7,0),0)</f>
        <v>0</v>
      </c>
      <c r="AL32" s="204">
        <f>IFERROR(VLOOKUP($AE32,PEREDACHA.XX.FACT.EXPENSES!$AD$28:$AM$42,8,0),0)</f>
        <v>0</v>
      </c>
      <c r="AM32" s="223">
        <f>IFERROR(IF(AH31=0,0,(AH32-AH31)/AH31*AN32),0)</f>
        <v>0</v>
      </c>
      <c r="AN32" s="222">
        <f>AN30</f>
        <v>0</v>
      </c>
      <c r="AO32" s="592">
        <f>IFERROR((1+AF32)*(1-AG32)*(1+AM32),0)</f>
        <v>1</v>
      </c>
      <c r="AP32" s="204">
        <f t="shared" si="2"/>
        <v>0</v>
      </c>
      <c r="AQ32" s="204">
        <f t="shared" si="16"/>
        <v>0</v>
      </c>
      <c r="AR32" s="204">
        <f t="shared" si="16"/>
        <v>0</v>
      </c>
      <c r="AS32" s="204">
        <f t="shared" si="16"/>
        <v>0</v>
      </c>
      <c r="AT32" s="204">
        <f t="shared" si="3"/>
        <v>0</v>
      </c>
      <c r="AU32" s="204">
        <f>IFERROR(AU31*$AO32,0)</f>
        <v>0</v>
      </c>
      <c r="AV32" s="204">
        <f t="shared" si="4"/>
        <v>0</v>
      </c>
      <c r="AW32" s="204">
        <f t="shared" si="17"/>
        <v>0</v>
      </c>
      <c r="AX32" s="204">
        <f t="shared" si="17"/>
        <v>0</v>
      </c>
      <c r="AY32" s="204">
        <f t="shared" si="17"/>
        <v>0</v>
      </c>
      <c r="AZ32" s="204">
        <f t="shared" si="17"/>
        <v>0</v>
      </c>
      <c r="BA32" s="204">
        <f t="shared" si="17"/>
        <v>0</v>
      </c>
      <c r="BB32" s="204">
        <f t="shared" si="17"/>
        <v>0</v>
      </c>
      <c r="BC32" s="204">
        <f t="shared" si="17"/>
        <v>0</v>
      </c>
      <c r="BD32" s="204">
        <f t="shared" si="17"/>
        <v>0</v>
      </c>
      <c r="BE32" s="204">
        <f t="shared" si="17"/>
        <v>0</v>
      </c>
      <c r="BF32" s="204">
        <f t="shared" si="17"/>
        <v>0</v>
      </c>
      <c r="BG32" s="204">
        <f t="shared" si="17"/>
        <v>0</v>
      </c>
      <c r="BH32" s="204">
        <f t="shared" si="17"/>
        <v>0</v>
      </c>
      <c r="BI32" s="204">
        <f t="shared" si="17"/>
        <v>0</v>
      </c>
      <c r="BJ32" s="222">
        <f t="shared" si="5"/>
        <v>0</v>
      </c>
      <c r="BK32" s="204">
        <f t="shared" si="6"/>
        <v>0</v>
      </c>
      <c r="BL32" s="190">
        <f>IFERROR(VLOOKUP($AE32,PEREDACHA.XX.FACT.EXPENSES!$AD$28:$CI$42,34,0),0)</f>
        <v>0</v>
      </c>
      <c r="BM32" s="190">
        <f>IFERROR(VLOOKUP($AE32,PEREDACHA.XX.FACT.EXPENSES!$AD$28:$CI$42,35,0),0)</f>
        <v>0</v>
      </c>
      <c r="BN32" s="190">
        <f>IFERROR(VLOOKUP($AE32,PEREDACHA.XX.FACT.EXPENSES!$AD$28:$CI$42,36,0),0)</f>
        <v>0</v>
      </c>
      <c r="BO32" s="190">
        <f>IFERROR(VLOOKUP($AE32,PEREDACHA.XX.FACT.EXPENSES!$AD$28:$CI$42,37,0),0)</f>
        <v>0</v>
      </c>
      <c r="BP32" s="190">
        <f>IFERROR(VLOOKUP($AE32,PEREDACHA.XX.FACT.EXPENSES!$AD$28:$CI$42,38,0),0)</f>
        <v>0</v>
      </c>
      <c r="BQ32" s="207">
        <f t="shared" si="7"/>
        <v>0</v>
      </c>
      <c r="BR32" s="190">
        <f>IFERROR(VLOOKUP($AE32,PEREDACHA.XX.FACT.EXPENSES!$AD$28:$CI$42,40,0),0)</f>
        <v>0</v>
      </c>
      <c r="BS32" s="190">
        <f>IFERROR(VLOOKUP($AE32,PEREDACHA.XX.FACT.EXPENSES!$AD$28:$CI$42,41,0),0)</f>
        <v>0</v>
      </c>
      <c r="BT32" s="190">
        <f>IFERROR(VLOOKUP($AE32,PEREDACHA.XX.FACT.EXPENSES!$AD$28:$CI$42,42,0),0)</f>
        <v>0</v>
      </c>
      <c r="BU32" s="190">
        <f>IFERROR(VLOOKUP($AE32,PEREDACHA.XX.FACT.EXPENSES!$AD$28:$CI$42,43,0),0)</f>
        <v>0</v>
      </c>
      <c r="BV32" s="207">
        <f t="shared" si="8"/>
        <v>0</v>
      </c>
      <c r="BW32" s="190">
        <f>IFERROR(VLOOKUP($AE32,PEREDACHA.XX.FACT.EXPENSES!$AD$28:$CI$42,45,0),0)</f>
        <v>0</v>
      </c>
      <c r="BX32" s="190">
        <f>IFERROR(VLOOKUP($AE32,PEREDACHA.XX.FACT.EXPENSES!$AD$28:$CI$42,46,0),0)</f>
        <v>0</v>
      </c>
      <c r="BY32" s="190">
        <f>IFERROR(VLOOKUP($AE32,PEREDACHA.XX.FACT.EXPENSES!$AD$28:$CI$42,47,0),0)</f>
        <v>0</v>
      </c>
      <c r="BZ32" s="190">
        <f>IFERROR(VLOOKUP($AE32,PEREDACHA.XX.FACT.EXPENSES!$AD$28:$CI$42,48,0),0)</f>
        <v>0</v>
      </c>
      <c r="CA32" s="190">
        <f>IFERROR(VLOOKUP($AE32,PEREDACHA.XX.FACT.EXPENSES!$AD$28:$CI$42,49,0),0)</f>
        <v>0</v>
      </c>
      <c r="CB32" s="190">
        <f>IFERROR(VLOOKUP($AE32,PEREDACHA.XX.FACT.EXPENSES!$AD$28:$CI$42,50,0),0)</f>
        <v>0</v>
      </c>
      <c r="CC32" s="190">
        <f>IFERROR(VLOOKUP($AE32,PEREDACHA.XX.FACT.EXPENSES!$AD$28:$CI$42,51,0),0)</f>
        <v>0</v>
      </c>
      <c r="CD32" s="190">
        <f>IFERROR(VLOOKUP($AE32,PEREDACHA.XX.FACT.EXPENSES!$AD$28:$CI$42,52,0),0)</f>
        <v>0</v>
      </c>
      <c r="CE32" s="190">
        <f>IFERROR(VLOOKUP($AE32,PEREDACHA.XX.FACT.EXPENSES!$AD$28:$CI$42,53,0),0)</f>
        <v>0</v>
      </c>
      <c r="CF32" s="190">
        <f>IFERROR(VLOOKUP($AE32,PEREDACHA.XX.FACT.EXPENSES!$AD$28:$CI$42,54,0),0)</f>
        <v>0</v>
      </c>
      <c r="CG32" s="203">
        <f>IFERROR(((CE32+CF32)/(CK32-BK32-CB32-CE32-CF32-BP32)),0)</f>
        <v>0</v>
      </c>
      <c r="CH32" s="222">
        <f t="shared" si="9"/>
        <v>0</v>
      </c>
      <c r="CI32" s="204">
        <f>IFERROR(VLOOKUP($AE32,PEREDACHA.XX.FACT.EXPENSES!$AD$28:$CI$42,58,0),0)</f>
        <v>0</v>
      </c>
      <c r="CJ32" s="499">
        <f>IFERROR(VLOOKUP($AE32,PEREDACHA.XX.FACT.EXPENSES!$AD$28:$CJ$42,59,0),0)</f>
        <v>0</v>
      </c>
      <c r="CK32" s="222">
        <f t="shared" si="10"/>
        <v>0</v>
      </c>
      <c r="CL32" s="499"/>
      <c r="CM32" s="222">
        <f t="shared" si="11"/>
        <v>0</v>
      </c>
      <c r="CN32" s="593">
        <f t="shared" si="12"/>
        <v>0</v>
      </c>
      <c r="CO32" s="223">
        <f>IFERROR(((CK32-CK31)/CK31),0)</f>
        <v>0</v>
      </c>
      <c r="CP32" s="190"/>
      <c r="CQ32" s="594"/>
      <c r="CR32" s="594"/>
      <c r="CS32" s="208">
        <f t="shared" si="13"/>
        <v>0</v>
      </c>
      <c r="CT32" s="243">
        <f t="shared" si="14"/>
        <v>0</v>
      </c>
      <c r="CU32" s="499"/>
      <c r="CV32" s="590">
        <f t="shared" si="15"/>
        <v>0</v>
      </c>
      <c r="CW32" s="223">
        <f>IFERROR(((CT32-CT31)/CT31),0)</f>
        <v>0</v>
      </c>
      <c r="CX32" s="190"/>
    </row>
    <row r="33" spans="2:104" ht="24" hidden="1" customHeight="1">
      <c r="B33" s="3" t="b">
        <f>IFERROR(AND(REPORT_OWNER&lt;&gt;"Версия организации",AC33&lt;=FIRST_PERIOD_IN_LT+PERIOD_LENGTH-1),FALSE)</f>
        <v>0</v>
      </c>
      <c r="D33" s="1">
        <v>39</v>
      </c>
      <c r="AB33" s="1212"/>
      <c r="AC33" s="586">
        <f>IFERROR(AC32+1,0)</f>
        <v>2029</v>
      </c>
      <c r="AD33" s="591" t="s">
        <v>2387</v>
      </c>
      <c r="AE33" s="591" t="str">
        <f t="shared" si="0"/>
        <v>план2029</v>
      </c>
      <c r="AF33" s="223">
        <f>IFERROR(VLOOKUP(AE33,PEREDACHA.XX.FACT.EXPENSES!$AD$28:$AK$42,2,0),0)</f>
        <v>0</v>
      </c>
      <c r="AG33" s="223">
        <f>IFERROR(VLOOKUP(AE33,PEREDACHA.XX.FACT.EXPENSES!$AD$28:$AK$42,3,0),0)</f>
        <v>0</v>
      </c>
      <c r="AH33" s="222">
        <f t="shared" si="1"/>
        <v>0</v>
      </c>
      <c r="AI33" s="204">
        <f>IFERROR(VLOOKUP($AE33,PEREDACHA.XX.FACT.EXPENSES!$AD$28:$AM$42,5,0),0)</f>
        <v>0</v>
      </c>
      <c r="AJ33" s="204">
        <f>IFERROR(VLOOKUP($AE33,PEREDACHA.XX.FACT.EXPENSES!$AD$28:$AM$42,6,0),0)</f>
        <v>0</v>
      </c>
      <c r="AK33" s="204">
        <f>IFERROR(VLOOKUP($AE33,PEREDACHA.XX.FACT.EXPENSES!$AD$28:$AM$42,7,0),0)</f>
        <v>0</v>
      </c>
      <c r="AL33" s="204">
        <f>IFERROR(VLOOKUP($AE33,PEREDACHA.XX.FACT.EXPENSES!$AD$28:$AM$42,8,0),0)</f>
        <v>0</v>
      </c>
      <c r="AM33" s="223">
        <f>IFERROR(IF(AH32=0,0,(AH33-AH32)/AH32*AN33),0)</f>
        <v>0</v>
      </c>
      <c r="AN33" s="222">
        <f>AN30</f>
        <v>0</v>
      </c>
      <c r="AO33" s="592">
        <f>IFERROR((1+AF33)*(1-AG33)*(1+AM33),0)</f>
        <v>1</v>
      </c>
      <c r="AP33" s="204">
        <f t="shared" si="2"/>
        <v>0</v>
      </c>
      <c r="AQ33" s="204">
        <f t="shared" si="16"/>
        <v>0</v>
      </c>
      <c r="AR33" s="204">
        <f t="shared" si="16"/>
        <v>0</v>
      </c>
      <c r="AS33" s="204">
        <f t="shared" si="16"/>
        <v>0</v>
      </c>
      <c r="AT33" s="204">
        <f t="shared" si="3"/>
        <v>0</v>
      </c>
      <c r="AU33" s="204">
        <f>IFERROR(AU32*$AO33,0)</f>
        <v>0</v>
      </c>
      <c r="AV33" s="204">
        <f t="shared" si="4"/>
        <v>0</v>
      </c>
      <c r="AW33" s="204">
        <f t="shared" si="17"/>
        <v>0</v>
      </c>
      <c r="AX33" s="204">
        <f t="shared" si="17"/>
        <v>0</v>
      </c>
      <c r="AY33" s="204">
        <f t="shared" si="17"/>
        <v>0</v>
      </c>
      <c r="AZ33" s="204">
        <f t="shared" si="17"/>
        <v>0</v>
      </c>
      <c r="BA33" s="204">
        <f t="shared" si="17"/>
        <v>0</v>
      </c>
      <c r="BB33" s="204">
        <f t="shared" si="17"/>
        <v>0</v>
      </c>
      <c r="BC33" s="204">
        <f t="shared" si="17"/>
        <v>0</v>
      </c>
      <c r="BD33" s="204">
        <f t="shared" si="17"/>
        <v>0</v>
      </c>
      <c r="BE33" s="204">
        <f t="shared" si="17"/>
        <v>0</v>
      </c>
      <c r="BF33" s="204">
        <f t="shared" si="17"/>
        <v>0</v>
      </c>
      <c r="BG33" s="204">
        <f t="shared" si="17"/>
        <v>0</v>
      </c>
      <c r="BH33" s="204">
        <f t="shared" si="17"/>
        <v>0</v>
      </c>
      <c r="BI33" s="204">
        <f t="shared" si="17"/>
        <v>0</v>
      </c>
      <c r="BJ33" s="222">
        <f t="shared" si="5"/>
        <v>0</v>
      </c>
      <c r="BK33" s="204">
        <f t="shared" si="6"/>
        <v>0</v>
      </c>
      <c r="BL33" s="190">
        <f>IFERROR(VLOOKUP($AE33,PEREDACHA.XX.FACT.EXPENSES!$AD$28:$CI$42,34,0),0)</f>
        <v>0</v>
      </c>
      <c r="BM33" s="190">
        <f>IFERROR(VLOOKUP($AE33,PEREDACHA.XX.FACT.EXPENSES!$AD$28:$CI$42,35,0),0)</f>
        <v>0</v>
      </c>
      <c r="BN33" s="190">
        <f>IFERROR(VLOOKUP($AE33,PEREDACHA.XX.FACT.EXPENSES!$AD$28:$CI$42,36,0),0)</f>
        <v>0</v>
      </c>
      <c r="BO33" s="190">
        <f>IFERROR(VLOOKUP($AE33,PEREDACHA.XX.FACT.EXPENSES!$AD$28:$CI$42,37,0),0)</f>
        <v>0</v>
      </c>
      <c r="BP33" s="190">
        <f>IFERROR(VLOOKUP($AE33,PEREDACHA.XX.FACT.EXPENSES!$AD$28:$CI$42,38,0),0)</f>
        <v>0</v>
      </c>
      <c r="BQ33" s="207">
        <f t="shared" si="7"/>
        <v>0</v>
      </c>
      <c r="BR33" s="190">
        <f>IFERROR(VLOOKUP($AE33,PEREDACHA.XX.FACT.EXPENSES!$AD$28:$CI$42,40,0),0)</f>
        <v>0</v>
      </c>
      <c r="BS33" s="190">
        <f>IFERROR(VLOOKUP($AE33,PEREDACHA.XX.FACT.EXPENSES!$AD$28:$CI$42,41,0),0)</f>
        <v>0</v>
      </c>
      <c r="BT33" s="190">
        <f>IFERROR(VLOOKUP($AE33,PEREDACHA.XX.FACT.EXPENSES!$AD$28:$CI$42,42,0),0)</f>
        <v>0</v>
      </c>
      <c r="BU33" s="190">
        <f>IFERROR(VLOOKUP($AE33,PEREDACHA.XX.FACT.EXPENSES!$AD$28:$CI$42,43,0),0)</f>
        <v>0</v>
      </c>
      <c r="BV33" s="207">
        <f t="shared" si="8"/>
        <v>0</v>
      </c>
      <c r="BW33" s="190">
        <f>IFERROR(VLOOKUP($AE33,PEREDACHA.XX.FACT.EXPENSES!$AD$28:$CI$42,45,0),0)</f>
        <v>0</v>
      </c>
      <c r="BX33" s="190">
        <f>IFERROR(VLOOKUP($AE33,PEREDACHA.XX.FACT.EXPENSES!$AD$28:$CI$42,46,0),0)</f>
        <v>0</v>
      </c>
      <c r="BY33" s="190">
        <f>IFERROR(VLOOKUP($AE33,PEREDACHA.XX.FACT.EXPENSES!$AD$28:$CI$42,47,0),0)</f>
        <v>0</v>
      </c>
      <c r="BZ33" s="190">
        <f>IFERROR(VLOOKUP($AE33,PEREDACHA.XX.FACT.EXPENSES!$AD$28:$CI$42,48,0),0)</f>
        <v>0</v>
      </c>
      <c r="CA33" s="190">
        <f>IFERROR(VLOOKUP($AE33,PEREDACHA.XX.FACT.EXPENSES!$AD$28:$CI$42,49,0),0)</f>
        <v>0</v>
      </c>
      <c r="CB33" s="190">
        <f>IFERROR(VLOOKUP($AE33,PEREDACHA.XX.FACT.EXPENSES!$AD$28:$CI$42,50,0),0)</f>
        <v>0</v>
      </c>
      <c r="CC33" s="190">
        <f>IFERROR(VLOOKUP($AE33,PEREDACHA.XX.FACT.EXPENSES!$AD$28:$CI$42,51,0),0)</f>
        <v>0</v>
      </c>
      <c r="CD33" s="190">
        <f>IFERROR(VLOOKUP($AE33,PEREDACHA.XX.FACT.EXPENSES!$AD$28:$CI$42,52,0),0)</f>
        <v>0</v>
      </c>
      <c r="CE33" s="190">
        <f>IFERROR(VLOOKUP($AE33,PEREDACHA.XX.FACT.EXPENSES!$AD$28:$CI$42,53,0),0)</f>
        <v>0</v>
      </c>
      <c r="CF33" s="190">
        <f>IFERROR(VLOOKUP($AE33,PEREDACHA.XX.FACT.EXPENSES!$AD$28:$CI$42,54,0),0)</f>
        <v>0</v>
      </c>
      <c r="CG33" s="203">
        <f>IFERROR(((CE33+CF33)/(CK33-BK33-CB33-CE33-CF33-BP33)),0)</f>
        <v>0</v>
      </c>
      <c r="CH33" s="222">
        <f t="shared" si="9"/>
        <v>0</v>
      </c>
      <c r="CI33" s="204">
        <f>IFERROR(VLOOKUP($AE33,PEREDACHA.XX.FACT.EXPENSES!$AD$28:$CI$42,58,0),0)</f>
        <v>0</v>
      </c>
      <c r="CJ33" s="499">
        <f>IFERROR(VLOOKUP($AE33,PEREDACHA.XX.FACT.EXPENSES!$AD$28:$CJ$42,59,0),0)</f>
        <v>0</v>
      </c>
      <c r="CK33" s="222">
        <f t="shared" si="10"/>
        <v>0</v>
      </c>
      <c r="CL33" s="499"/>
      <c r="CM33" s="222">
        <f t="shared" si="11"/>
        <v>0</v>
      </c>
      <c r="CN33" s="593">
        <f t="shared" si="12"/>
        <v>0</v>
      </c>
      <c r="CO33" s="223">
        <f>IFERROR(((CK33-CK32)/CK32),0)</f>
        <v>0</v>
      </c>
      <c r="CP33" s="190"/>
      <c r="CQ33" s="594"/>
      <c r="CR33" s="594"/>
      <c r="CS33" s="208">
        <f t="shared" si="13"/>
        <v>0</v>
      </c>
      <c r="CT33" s="243">
        <f t="shared" si="14"/>
        <v>0</v>
      </c>
      <c r="CU33" s="499"/>
      <c r="CV33" s="590">
        <f t="shared" si="15"/>
        <v>0</v>
      </c>
      <c r="CW33" s="223">
        <f>IFERROR(((CT33-CT32)/CT32),0)</f>
        <v>0</v>
      </c>
      <c r="CX33" s="190"/>
    </row>
    <row r="34" spans="2:104" ht="23.25" hidden="1" customHeight="1">
      <c r="B34" s="3" t="b">
        <f>IFERROR(AND(REPORT_OWNER&lt;&gt;"Версия организации",AC34&lt;=FIRST_PERIOD_IN_LT+PERIOD_LENGTH-1),FALSE)</f>
        <v>0</v>
      </c>
      <c r="D34" s="1">
        <v>37</v>
      </c>
      <c r="AB34" s="1213"/>
      <c r="AC34" s="586">
        <f>IFERROR(AC33+1,0)</f>
        <v>2030</v>
      </c>
      <c r="AD34" s="591" t="s">
        <v>2387</v>
      </c>
      <c r="AE34" s="591" t="str">
        <f t="shared" si="0"/>
        <v>план2030</v>
      </c>
      <c r="AF34" s="223">
        <f>IFERROR(VLOOKUP(AE34,PEREDACHA.XX.FACT.EXPENSES!$AD$28:$AK$42,2,0),0)</f>
        <v>0</v>
      </c>
      <c r="AG34" s="223">
        <f>IFERROR(VLOOKUP(AE34,PEREDACHA.XX.FACT.EXPENSES!$AD$28:$AK$42,3,0),0)</f>
        <v>0</v>
      </c>
      <c r="AH34" s="222">
        <f t="shared" si="1"/>
        <v>0</v>
      </c>
      <c r="AI34" s="204">
        <f>IFERROR(VLOOKUP($AE34,PEREDACHA.XX.FACT.EXPENSES!$AD$28:$AM$42,5,0),0)</f>
        <v>0</v>
      </c>
      <c r="AJ34" s="204">
        <f>IFERROR(VLOOKUP($AE34,PEREDACHA.XX.FACT.EXPENSES!$AD$28:$AM$42,6,0),0)</f>
        <v>0</v>
      </c>
      <c r="AK34" s="204">
        <f>IFERROR(VLOOKUP($AE34,PEREDACHA.XX.FACT.EXPENSES!$AD$28:$AM$42,7,0),0)</f>
        <v>0</v>
      </c>
      <c r="AL34" s="204">
        <f>IFERROR(VLOOKUP($AE34,PEREDACHA.XX.FACT.EXPENSES!$AD$28:$AM$42,8,0),0)</f>
        <v>0</v>
      </c>
      <c r="AM34" s="223">
        <f>IFERROR(IF(AH33=0,0,(AH34-AH33)/AH33*AN34),0)</f>
        <v>0</v>
      </c>
      <c r="AN34" s="222">
        <f>AN30</f>
        <v>0</v>
      </c>
      <c r="AO34" s="592">
        <f>IFERROR((1+AF34)*(1-AG34)*(1+AM34),0)</f>
        <v>1</v>
      </c>
      <c r="AP34" s="204">
        <f t="shared" si="2"/>
        <v>0</v>
      </c>
      <c r="AQ34" s="204">
        <f t="shared" si="16"/>
        <v>0</v>
      </c>
      <c r="AR34" s="204">
        <f t="shared" si="16"/>
        <v>0</v>
      </c>
      <c r="AS34" s="204">
        <f t="shared" si="16"/>
        <v>0</v>
      </c>
      <c r="AT34" s="204">
        <f t="shared" si="3"/>
        <v>0</v>
      </c>
      <c r="AU34" s="204">
        <f>IFERROR(AU33*$AO34,0)</f>
        <v>0</v>
      </c>
      <c r="AV34" s="204">
        <f t="shared" si="4"/>
        <v>0</v>
      </c>
      <c r="AW34" s="204">
        <f t="shared" si="17"/>
        <v>0</v>
      </c>
      <c r="AX34" s="204">
        <f t="shared" si="17"/>
        <v>0</v>
      </c>
      <c r="AY34" s="204">
        <f t="shared" si="17"/>
        <v>0</v>
      </c>
      <c r="AZ34" s="204">
        <f t="shared" si="17"/>
        <v>0</v>
      </c>
      <c r="BA34" s="204">
        <f t="shared" si="17"/>
        <v>0</v>
      </c>
      <c r="BB34" s="204">
        <f t="shared" si="17"/>
        <v>0</v>
      </c>
      <c r="BC34" s="204">
        <f t="shared" si="17"/>
        <v>0</v>
      </c>
      <c r="BD34" s="204">
        <f t="shared" si="17"/>
        <v>0</v>
      </c>
      <c r="BE34" s="204">
        <f t="shared" si="17"/>
        <v>0</v>
      </c>
      <c r="BF34" s="204">
        <f t="shared" si="17"/>
        <v>0</v>
      </c>
      <c r="BG34" s="204">
        <f t="shared" si="17"/>
        <v>0</v>
      </c>
      <c r="BH34" s="204">
        <f t="shared" si="17"/>
        <v>0</v>
      </c>
      <c r="BI34" s="204">
        <f t="shared" si="17"/>
        <v>0</v>
      </c>
      <c r="BJ34" s="222">
        <f t="shared" si="5"/>
        <v>0</v>
      </c>
      <c r="BK34" s="204">
        <f t="shared" si="6"/>
        <v>0</v>
      </c>
      <c r="BL34" s="190">
        <f>IFERROR(VLOOKUP($AE34,PEREDACHA.XX.FACT.EXPENSES!$AD$28:$CI$42,34,0),0)</f>
        <v>0</v>
      </c>
      <c r="BM34" s="190">
        <f>IFERROR(VLOOKUP($AE34,PEREDACHA.XX.FACT.EXPENSES!$AD$28:$CI$42,35,0),0)</f>
        <v>0</v>
      </c>
      <c r="BN34" s="190">
        <f>IFERROR(VLOOKUP($AE34,PEREDACHA.XX.FACT.EXPENSES!$AD$28:$CI$42,36,0),0)</f>
        <v>0</v>
      </c>
      <c r="BO34" s="190">
        <f>IFERROR(VLOOKUP($AE34,PEREDACHA.XX.FACT.EXPENSES!$AD$28:$CI$42,37,0),0)</f>
        <v>0</v>
      </c>
      <c r="BP34" s="190">
        <f>IFERROR(VLOOKUP($AE34,PEREDACHA.XX.FACT.EXPENSES!$AD$28:$CI$42,38,0),0)</f>
        <v>0</v>
      </c>
      <c r="BQ34" s="207">
        <f t="shared" si="7"/>
        <v>0</v>
      </c>
      <c r="BR34" s="190">
        <f>IFERROR(VLOOKUP($AE34,PEREDACHA.XX.FACT.EXPENSES!$AD$28:$CI$42,40,0),0)</f>
        <v>0</v>
      </c>
      <c r="BS34" s="190">
        <f>IFERROR(VLOOKUP($AE34,PEREDACHA.XX.FACT.EXPENSES!$AD$28:$CI$42,41,0),0)</f>
        <v>0</v>
      </c>
      <c r="BT34" s="190">
        <f>IFERROR(VLOOKUP($AE34,PEREDACHA.XX.FACT.EXPENSES!$AD$28:$CI$42,42,0),0)</f>
        <v>0</v>
      </c>
      <c r="BU34" s="190">
        <f>IFERROR(VLOOKUP($AE34,PEREDACHA.XX.FACT.EXPENSES!$AD$28:$CI$42,43,0),0)</f>
        <v>0</v>
      </c>
      <c r="BV34" s="207">
        <f t="shared" si="8"/>
        <v>0</v>
      </c>
      <c r="BW34" s="190">
        <f>IFERROR(VLOOKUP($AE34,PEREDACHA.XX.FACT.EXPENSES!$AD$28:$CI$42,45,0),0)</f>
        <v>0</v>
      </c>
      <c r="BX34" s="190">
        <f>IFERROR(VLOOKUP($AE34,PEREDACHA.XX.FACT.EXPENSES!$AD$28:$CI$42,46,0),0)</f>
        <v>0</v>
      </c>
      <c r="BY34" s="190">
        <f>IFERROR(VLOOKUP($AE34,PEREDACHA.XX.FACT.EXPENSES!$AD$28:$CI$42,47,0),0)</f>
        <v>0</v>
      </c>
      <c r="BZ34" s="190">
        <f>IFERROR(VLOOKUP($AE34,PEREDACHA.XX.FACT.EXPENSES!$AD$28:$CI$42,48,0),0)</f>
        <v>0</v>
      </c>
      <c r="CA34" s="190">
        <f>IFERROR(VLOOKUP($AE34,PEREDACHA.XX.FACT.EXPENSES!$AD$28:$CI$42,49,0),0)</f>
        <v>0</v>
      </c>
      <c r="CB34" s="190">
        <f>IFERROR(VLOOKUP($AE34,PEREDACHA.XX.FACT.EXPENSES!$AD$28:$CI$42,50,0),0)</f>
        <v>0</v>
      </c>
      <c r="CC34" s="190">
        <f>IFERROR(VLOOKUP($AE34,PEREDACHA.XX.FACT.EXPENSES!$AD$28:$CI$42,51,0),0)</f>
        <v>0</v>
      </c>
      <c r="CD34" s="190">
        <f>IFERROR(VLOOKUP($AE34,PEREDACHA.XX.FACT.EXPENSES!$AD$28:$CI$42,52,0),0)</f>
        <v>0</v>
      </c>
      <c r="CE34" s="190">
        <f>IFERROR(VLOOKUP($AE34,PEREDACHA.XX.FACT.EXPENSES!$AD$28:$CI$42,53,0),0)</f>
        <v>0</v>
      </c>
      <c r="CF34" s="190">
        <f>IFERROR(VLOOKUP($AE34,PEREDACHA.XX.FACT.EXPENSES!$AD$28:$CI$42,54,0),0)</f>
        <v>0</v>
      </c>
      <c r="CG34" s="203">
        <f>IFERROR(((CE34+CF34)/(CK34-BK34-CB34-CE34-CF34-BP34)),0)</f>
        <v>0</v>
      </c>
      <c r="CH34" s="222">
        <f t="shared" si="9"/>
        <v>0</v>
      </c>
      <c r="CI34" s="204">
        <f>IFERROR(VLOOKUP($AE34,PEREDACHA.XX.FACT.EXPENSES!$AD$28:$CI$42,58,0),0)</f>
        <v>0</v>
      </c>
      <c r="CJ34" s="499">
        <f>IFERROR(VLOOKUP($AE34,PEREDACHA.XX.FACT.EXPENSES!$AD$28:$CJ$42,59,0),0)</f>
        <v>0</v>
      </c>
      <c r="CK34" s="222">
        <f t="shared" si="10"/>
        <v>0</v>
      </c>
      <c r="CL34" s="499"/>
      <c r="CM34" s="222">
        <f t="shared" si="11"/>
        <v>0</v>
      </c>
      <c r="CN34" s="593">
        <f t="shared" si="12"/>
        <v>0</v>
      </c>
      <c r="CO34" s="223">
        <f>IFERROR(((CK34-CK33)/CK33),0)</f>
        <v>0</v>
      </c>
      <c r="CP34" s="190"/>
      <c r="CQ34" s="594"/>
      <c r="CR34" s="594"/>
      <c r="CS34" s="208">
        <f t="shared" si="13"/>
        <v>0</v>
      </c>
      <c r="CT34" s="243">
        <f t="shared" si="14"/>
        <v>0</v>
      </c>
      <c r="CU34" s="499"/>
      <c r="CV34" s="590">
        <f t="shared" si="15"/>
        <v>0</v>
      </c>
      <c r="CW34" s="223">
        <f>IFERROR(((CT34-CT33)/CT33),0)</f>
        <v>0</v>
      </c>
      <c r="CX34" s="190"/>
    </row>
    <row r="35" spans="2:104" ht="13.5" customHeight="1">
      <c r="D35" s="1">
        <v>18</v>
      </c>
    </row>
    <row r="36" spans="2:104" ht="11.25" hidden="1" customHeight="1">
      <c r="D36" s="1">
        <v>0</v>
      </c>
    </row>
    <row r="37" spans="2:104" ht="15" customHeight="1">
      <c r="D37" s="1">
        <v>20</v>
      </c>
      <c r="AB37" s="1" t="s">
        <v>2355</v>
      </c>
    </row>
    <row r="38" spans="2:104" ht="15.75" customHeight="1">
      <c r="D38" s="1">
        <v>21</v>
      </c>
      <c r="AB38" s="1211" t="str">
        <f>IF(ORG&lt;&gt;0,ORG,"")</f>
        <v>МУП "Горэлектросети"</v>
      </c>
      <c r="AC38" s="573">
        <f>IFERROR(AC39-1,0)</f>
        <v>2025</v>
      </c>
      <c r="AD38" s="574" t="s">
        <v>2387</v>
      </c>
      <c r="AE38" s="574" t="str">
        <f t="shared" ref="AE38:AE43" si="18">IFERROR(AD38&amp;AC38,0)</f>
        <v>план2025</v>
      </c>
      <c r="AF38" s="575"/>
      <c r="AG38" s="575"/>
      <c r="AH38" s="576">
        <f t="shared" ref="AH38:AH43" si="19">IFERROR(SUM(AI38:AL38),0)</f>
        <v>0</v>
      </c>
      <c r="AI38" s="577"/>
      <c r="AJ38" s="577"/>
      <c r="AK38" s="577"/>
      <c r="AL38" s="577"/>
      <c r="AM38" s="578"/>
      <c r="AN38" s="578"/>
      <c r="AO38" s="579"/>
      <c r="AP38" s="580">
        <f t="shared" ref="AP38:AP43" si="20">IFERROR(SUM(AQ38:AR38),0)</f>
        <v>0</v>
      </c>
      <c r="AQ38" s="577"/>
      <c r="AR38" s="577"/>
      <c r="AS38" s="577"/>
      <c r="AT38" s="580">
        <f t="shared" ref="AT38:AT43" si="21">IFERROR(AU38+AV38+BC38+BD38+BE38+BF38+BG38+BH38+BI38,0)</f>
        <v>0</v>
      </c>
      <c r="AU38" s="577"/>
      <c r="AV38" s="580">
        <f t="shared" ref="AV38:AV43" si="22">IFERROR(SUM(AW38:BB38),0)</f>
        <v>0</v>
      </c>
      <c r="AW38" s="577"/>
      <c r="AX38" s="577"/>
      <c r="AY38" s="577"/>
      <c r="AZ38" s="577"/>
      <c r="BA38" s="577"/>
      <c r="BB38" s="577"/>
      <c r="BC38" s="577"/>
      <c r="BD38" s="577"/>
      <c r="BE38" s="577"/>
      <c r="BF38" s="577"/>
      <c r="BG38" s="577"/>
      <c r="BH38" s="577"/>
      <c r="BI38" s="577"/>
      <c r="BJ38" s="576">
        <f t="shared" ref="BJ38:BJ43" si="23">IFERROR(AP38+AS38+AT38,0)</f>
        <v>0</v>
      </c>
      <c r="BK38" s="580">
        <f t="shared" ref="BK38:BK43" si="24">IFERROR(BL38+BM38,0)</f>
        <v>0</v>
      </c>
      <c r="BL38" s="577"/>
      <c r="BM38" s="577">
        <f>BL38</f>
        <v>0</v>
      </c>
      <c r="BN38" s="577"/>
      <c r="BO38" s="577"/>
      <c r="BP38" s="577"/>
      <c r="BQ38" s="580">
        <f t="shared" ref="BQ38:BQ43" si="25">IFERROR(SUM(BR38:BT38),0)</f>
        <v>0</v>
      </c>
      <c r="BR38" s="577"/>
      <c r="BS38" s="577"/>
      <c r="BT38" s="577"/>
      <c r="BU38" s="577"/>
      <c r="BV38" s="580">
        <f t="shared" ref="BV38:BV43" si="26">BW38+BX38+BZ38</f>
        <v>0</v>
      </c>
      <c r="BW38" s="577"/>
      <c r="BX38" s="577"/>
      <c r="BY38" s="577"/>
      <c r="BZ38" s="577"/>
      <c r="CA38" s="577"/>
      <c r="CB38" s="577">
        <f>CE38/4</f>
        <v>0</v>
      </c>
      <c r="CC38" s="577"/>
      <c r="CD38" s="577"/>
      <c r="CE38" s="577"/>
      <c r="CF38" s="577"/>
      <c r="CG38" s="581"/>
      <c r="CH38" s="576">
        <f t="shared" ref="CH38:CH43" si="27">IFERROR(BK38+BN38+BO38+BQ38+BV38+CA38+CC38+BU38+CD38+CE38+CF38,0)</f>
        <v>0</v>
      </c>
      <c r="CI38" s="577"/>
      <c r="CJ38" s="578"/>
      <c r="CK38" s="576">
        <f t="shared" ref="CK38:CK43" si="28">IFERROR(SUM(CH38,CI38,BJ38,CJ38),0)</f>
        <v>0</v>
      </c>
      <c r="CL38" s="578"/>
      <c r="CM38" s="576">
        <f t="shared" ref="CM38:CM43" si="29">IFERROR(CK38-CL38,0)</f>
        <v>0</v>
      </c>
      <c r="CN38" s="575">
        <f t="shared" ref="CN38:CN43" si="30">IFERROR((CM38+CL38)/CK38,0)</f>
        <v>0</v>
      </c>
      <c r="CO38" s="582"/>
      <c r="CP38" s="577"/>
      <c r="CQ38" s="577"/>
      <c r="CR38" s="577">
        <f>IFERROR(#REF!,0)</f>
        <v>0</v>
      </c>
      <c r="CS38" s="583">
        <f t="shared" ref="CS38:CS43" si="31">IFERROR(IF(CP38=0,0,CQ38/CP38),0)</f>
        <v>0</v>
      </c>
      <c r="CT38" s="584">
        <f t="shared" ref="CT38:CT43" si="32">IFERROR(CQ38*CR38,0)</f>
        <v>0</v>
      </c>
      <c r="CU38" s="578"/>
      <c r="CV38" s="585">
        <f t="shared" ref="CV38:CV43" si="33">IFERROR(CT38-CU38,0)</f>
        <v>0</v>
      </c>
      <c r="CW38" s="582"/>
      <c r="CX38" s="577"/>
    </row>
    <row r="39" spans="2:104" ht="15.75" customHeight="1">
      <c r="D39" s="1">
        <v>21</v>
      </c>
      <c r="AB39" s="1212"/>
      <c r="AC39" s="586">
        <f>FIRST_PERIOD_IN_LT</f>
        <v>2026</v>
      </c>
      <c r="AD39" s="574" t="s">
        <v>2387</v>
      </c>
      <c r="AE39" s="574" t="str">
        <f t="shared" si="18"/>
        <v>план2026</v>
      </c>
      <c r="AF39" s="587">
        <f>IFERROR(VLOOKUP(AE39,PEREDACHA.XX.FACT.EXPENSES!$AD$46:$AK$60,2,0),0)</f>
        <v>0</v>
      </c>
      <c r="AG39" s="587"/>
      <c r="AH39" s="222">
        <f t="shared" si="19"/>
        <v>0</v>
      </c>
      <c r="AI39" s="106">
        <f>IFERROR(VLOOKUP($AE39,PEREDACHA.XX.FACT.EXPENSES!$AD$46:$AM$60,5,0),0)</f>
        <v>0</v>
      </c>
      <c r="AJ39" s="106">
        <f>IFERROR(VLOOKUP($AE39,PEREDACHA.XX.FACT.EXPENSES!$AD$46:$AM$60,6,0),0)</f>
        <v>0</v>
      </c>
      <c r="AK39" s="106">
        <f>IFERROR(VLOOKUP($AE39,PEREDACHA.XX.FACT.EXPENSES!$AD$46:$AM$60,7,0),0)</f>
        <v>0</v>
      </c>
      <c r="AL39" s="106">
        <f>IFERROR(VLOOKUP($AE39,PEREDACHA.XX.FACT.EXPENSES!$AD$46:$AM$60,8,0),0)</f>
        <v>0</v>
      </c>
      <c r="AM39" s="223">
        <f>IFERROR(IF(AH38=0,0,(AH39-AH38)/AH38),0)</f>
        <v>0</v>
      </c>
      <c r="AN39" s="106">
        <f>IFERROR(VLOOKUP($AE39,PEREDACHA.XX.FACT.EXPENSES!$AD$46:$AM$60,10,0),0)</f>
        <v>0</v>
      </c>
      <c r="AO39" s="588"/>
      <c r="AP39" s="204">
        <f t="shared" si="20"/>
        <v>0</v>
      </c>
      <c r="AQ39" s="106">
        <f>IFERROR(VLOOKUP($AE39,PEREDACHA.XX.FACT.EXPENSES!$AD$46:$BH$60,13,0),0)</f>
        <v>0</v>
      </c>
      <c r="AR39" s="106">
        <f>IFERROR(VLOOKUP($AE39,PEREDACHA.XX.FACT.EXPENSES!$AD$46:$BH$60,14,0),0)</f>
        <v>0</v>
      </c>
      <c r="AS39" s="106">
        <f>IFERROR(VLOOKUP($AE39,PEREDACHA.XX.FACT.EXPENSES!$AD$46:$BH$60,15,0),0)</f>
        <v>0</v>
      </c>
      <c r="AT39" s="204">
        <f t="shared" si="21"/>
        <v>0</v>
      </c>
      <c r="AU39" s="106">
        <f>IFERROR(VLOOKUP($AE39,PEREDACHA.XX.FACT.EXPENSES!$AD$46:$BH$60,17,0),0)</f>
        <v>0</v>
      </c>
      <c r="AV39" s="204">
        <f t="shared" si="22"/>
        <v>0</v>
      </c>
      <c r="AW39" s="106">
        <f>IFERROR(VLOOKUP($AE39,PEREDACHA.XX.FACT.EXPENSES!$AD$46:$BH$60,19,0),0)</f>
        <v>0</v>
      </c>
      <c r="AX39" s="106">
        <f>IFERROR(VLOOKUP($AE39,PEREDACHA.XX.FACT.EXPENSES!$AD$46:$BH$60,20,0),0)</f>
        <v>0</v>
      </c>
      <c r="AY39" s="106">
        <f>IFERROR(VLOOKUP($AE39,PEREDACHA.XX.FACT.EXPENSES!$AD$46:$BH$60,21,0),0)</f>
        <v>0</v>
      </c>
      <c r="AZ39" s="106">
        <f>IFERROR(VLOOKUP($AE39,PEREDACHA.XX.FACT.EXPENSES!$AD$46:$BH$60,22,0),0)</f>
        <v>0</v>
      </c>
      <c r="BA39" s="106">
        <f>IFERROR(VLOOKUP($AE39,PEREDACHA.XX.FACT.EXPENSES!$AD$46:$BH$60,23,0),0)</f>
        <v>0</v>
      </c>
      <c r="BB39" s="106">
        <f>IFERROR(VLOOKUP($AE39,PEREDACHA.XX.FACT.EXPENSES!$AD$46:$BH$60,24,0),0)</f>
        <v>0</v>
      </c>
      <c r="BC39" s="106">
        <f>IFERROR(VLOOKUP($AE39,PEREDACHA.XX.FACT.EXPENSES!$AD$46:$BH$60,25,0),0)</f>
        <v>0</v>
      </c>
      <c r="BD39" s="106">
        <f>IFERROR(VLOOKUP($AE39,PEREDACHA.XX.FACT.EXPENSES!$AD$46:$BH$60,26,0),0)</f>
        <v>0</v>
      </c>
      <c r="BE39" s="106">
        <f>IFERROR(VLOOKUP($AE39,PEREDACHA.XX.FACT.EXPENSES!$AD$46:$BH$60,27,0),0)</f>
        <v>0</v>
      </c>
      <c r="BF39" s="106">
        <f>IFERROR(VLOOKUP($AE39,PEREDACHA.XX.FACT.EXPENSES!$AD$46:$BH$60,28,0),0)</f>
        <v>0</v>
      </c>
      <c r="BG39" s="106">
        <f>IFERROR(VLOOKUP($AE39,PEREDACHA.XX.FACT.EXPENSES!$AD$46:$BH$60,29,0),0)</f>
        <v>0</v>
      </c>
      <c r="BH39" s="106">
        <f>IFERROR(VLOOKUP($AE39,PEREDACHA.XX.FACT.EXPENSES!$AD$46:$BH$60,30,0),0)</f>
        <v>0</v>
      </c>
      <c r="BI39" s="106">
        <f>IFERROR(VLOOKUP($AE39,PEREDACHA.XX.FACT.EXPENSES!$AD$46:$BH$60,31,0),0)</f>
        <v>0</v>
      </c>
      <c r="BJ39" s="222">
        <f t="shared" si="23"/>
        <v>0</v>
      </c>
      <c r="BK39" s="204">
        <f t="shared" si="24"/>
        <v>0</v>
      </c>
      <c r="BL39" s="106">
        <f>IFERROR(VLOOKUP($AE39,PEREDACHA.XX.FACT.EXPENSES!$AD$46:$CI$60,34,0),0)</f>
        <v>0</v>
      </c>
      <c r="BM39" s="106">
        <f>IFERROR(VLOOKUP($AE39,PEREDACHA.XX.FACT.EXPENSES!$AD$46:$CI$60,35,0),0)</f>
        <v>0</v>
      </c>
      <c r="BN39" s="106">
        <f>IFERROR(VLOOKUP($AE39,PEREDACHA.XX.FACT.EXPENSES!$AD$46:$CI$60,36,0),0)</f>
        <v>0</v>
      </c>
      <c r="BO39" s="106">
        <f>IFERROR(VLOOKUP($AE39,PEREDACHA.XX.FACT.EXPENSES!$AD$46:$CI$60,37,0),0)</f>
        <v>0</v>
      </c>
      <c r="BP39" s="106">
        <f>IFERROR(VLOOKUP($AE39,PEREDACHA.XX.FACT.EXPENSES!$AD$46:$CI$60,38,0),0)</f>
        <v>0</v>
      </c>
      <c r="BQ39" s="204">
        <f t="shared" si="25"/>
        <v>0</v>
      </c>
      <c r="BR39" s="106">
        <f>IFERROR(VLOOKUP($AE39,PEREDACHA.XX.FACT.EXPENSES!$AD$46:$CI$60,40,0),0)</f>
        <v>0</v>
      </c>
      <c r="BS39" s="106">
        <f>IFERROR(VLOOKUP($AE39,PEREDACHA.XX.FACT.EXPENSES!$AD$46:$CI$60,41,0),0)</f>
        <v>0</v>
      </c>
      <c r="BT39" s="106">
        <f>IFERROR(VLOOKUP($AE39,PEREDACHA.XX.FACT.EXPENSES!$AD$46:$CI$60,42,0),0)</f>
        <v>0</v>
      </c>
      <c r="BU39" s="106">
        <f>IFERROR(VLOOKUP($AE39,PEREDACHA.XX.FACT.EXPENSES!$AD$46:$CI$60,43,0),0)</f>
        <v>0</v>
      </c>
      <c r="BV39" s="204">
        <f t="shared" si="26"/>
        <v>0</v>
      </c>
      <c r="BW39" s="106">
        <f>IFERROR(VLOOKUP($AE39,PEREDACHA.XX.FACT.EXPENSES!$AD$46:$CI$60,45,0),0)</f>
        <v>0</v>
      </c>
      <c r="BX39" s="106">
        <f>IFERROR(VLOOKUP($AE39,PEREDACHA.XX.FACT.EXPENSES!$AD$46:$CI$60,46,0),0)</f>
        <v>0</v>
      </c>
      <c r="BY39" s="106">
        <f>IFERROR(VLOOKUP($AE39,PEREDACHA.XX.FACT.EXPENSES!$AD$46:$CI$60,47,0),0)</f>
        <v>0</v>
      </c>
      <c r="BZ39" s="106">
        <f>IFERROR(VLOOKUP($AE39,PEREDACHA.XX.FACT.EXPENSES!$AD$46:$CI$60,48,0),0)</f>
        <v>0</v>
      </c>
      <c r="CA39" s="106">
        <f>IFERROR(VLOOKUP($AE39,PEREDACHA.XX.FACT.EXPENSES!$AD$46:$CI$60,49,0),0)</f>
        <v>0</v>
      </c>
      <c r="CB39" s="106">
        <f>IFERROR(VLOOKUP($AE39,PEREDACHA.XX.FACT.EXPENSES!$AD$46:$CI$60,50,0),0)</f>
        <v>0</v>
      </c>
      <c r="CC39" s="106">
        <f>IFERROR(VLOOKUP($AE39,PEREDACHA.XX.FACT.EXPENSES!$AD$46:$CI$60,51,0),0)</f>
        <v>0</v>
      </c>
      <c r="CD39" s="106">
        <f>IFERROR(VLOOKUP($AE39,PEREDACHA.XX.FACT.EXPENSES!$AD$46:$CI$60,52,0),0)</f>
        <v>0</v>
      </c>
      <c r="CE39" s="106">
        <f>IFERROR(VLOOKUP($AE39,PEREDACHA.XX.FACT.EXPENSES!$AD$46:$CI$60,53,0),0)</f>
        <v>0</v>
      </c>
      <c r="CF39" s="106">
        <f>IFERROR(VLOOKUP($AE39,PEREDACHA.XX.FACT.EXPENSES!$AD$46:$CI$60,54,0),0)</f>
        <v>0</v>
      </c>
      <c r="CG39" s="203">
        <f>IFERROR(((CE39+CF39)/(CK39-BK39-CB39-CE39-CF39-BP39)),0)</f>
        <v>0</v>
      </c>
      <c r="CH39" s="222">
        <f t="shared" si="27"/>
        <v>0</v>
      </c>
      <c r="CI39" s="204">
        <f>IFERROR(VLOOKUP($AE39,PEREDACHA.XX.FACT.EXPENSES!$AD$46:$CI$60,58,0),0)</f>
        <v>0</v>
      </c>
      <c r="CJ39" s="221">
        <f>IFERROR(VLOOKUP($AE39,PEREDACHA.XX.FACT.EXPENSES!$AD$46:$CJ$60,59,0),0)</f>
        <v>0</v>
      </c>
      <c r="CK39" s="222">
        <f t="shared" si="28"/>
        <v>0</v>
      </c>
      <c r="CL39" s="106"/>
      <c r="CM39" s="222">
        <f t="shared" si="29"/>
        <v>0</v>
      </c>
      <c r="CN39" s="587">
        <f t="shared" si="30"/>
        <v>0</v>
      </c>
      <c r="CO39" s="223">
        <f>IFERROR(((CK39-CK38)/CK38),0)</f>
        <v>0</v>
      </c>
      <c r="CP39" s="106"/>
      <c r="CQ39" s="106"/>
      <c r="CR39" s="106">
        <f>IFERROR(#REF!,0)</f>
        <v>0</v>
      </c>
      <c r="CS39" s="203">
        <f t="shared" si="31"/>
        <v>0</v>
      </c>
      <c r="CT39" s="589">
        <f t="shared" si="32"/>
        <v>0</v>
      </c>
      <c r="CU39" s="222">
        <f>IFERROR(#REF!,0)</f>
        <v>0</v>
      </c>
      <c r="CV39" s="590">
        <f t="shared" si="33"/>
        <v>0</v>
      </c>
      <c r="CW39" s="223">
        <f>IFERROR(((CT39-CT38)/CT38),0)</f>
        <v>0</v>
      </c>
      <c r="CX39" s="106"/>
    </row>
    <row r="40" spans="2:104" ht="24" hidden="1" customHeight="1">
      <c r="B40" s="3" t="b">
        <f>IFERROR(AND(REPORT_OWNER&lt;&gt;"Версия организации",AC40&lt;=FIRST_PERIOD_IN_LT+PERIOD_LENGTH-1),FALSE)</f>
        <v>0</v>
      </c>
      <c r="D40" s="1">
        <v>39</v>
      </c>
      <c r="AB40" s="1212"/>
      <c r="AC40" s="586">
        <f>IFERROR(AC39+1,0)</f>
        <v>2027</v>
      </c>
      <c r="AD40" s="591" t="s">
        <v>2387</v>
      </c>
      <c r="AE40" s="591" t="str">
        <f t="shared" si="18"/>
        <v>план2027</v>
      </c>
      <c r="AF40" s="223">
        <f>IFERROR(VLOOKUP(AE40,PEREDACHA.XX.FACT.EXPENSES!$AD$46:$AK$60,2,0),0)</f>
        <v>0</v>
      </c>
      <c r="AG40" s="223">
        <f>IFERROR(VLOOKUP(AE40,PEREDACHA.XX.FACT.EXPENSES!$AD$46:$AK$60,3,0),0)</f>
        <v>0</v>
      </c>
      <c r="AH40" s="222">
        <f t="shared" si="19"/>
        <v>0</v>
      </c>
      <c r="AI40" s="204">
        <f>IFERROR(VLOOKUP($AE40,PEREDACHA.XX.FACT.EXPENSES!$AD$46:$AM$60,5,0),0)</f>
        <v>0</v>
      </c>
      <c r="AJ40" s="204">
        <f>IFERROR(VLOOKUP($AE40,PEREDACHA.XX.FACT.EXPENSES!$AD$46:$AM$60,6,0),0)</f>
        <v>0</v>
      </c>
      <c r="AK40" s="204">
        <f>IFERROR(VLOOKUP($AE40,PEREDACHA.XX.FACT.EXPENSES!$AD$46:$AM$60,7,0),0)</f>
        <v>0</v>
      </c>
      <c r="AL40" s="204">
        <f>IFERROR(VLOOKUP($AE40,PEREDACHA.XX.FACT.EXPENSES!$AD$46:$AM$60,8,0),0)</f>
        <v>0</v>
      </c>
      <c r="AM40" s="223">
        <f>IFERROR(IF(AH39=0,0,(AH40-AH39)/AH39*AN40),0)</f>
        <v>0</v>
      </c>
      <c r="AN40" s="222">
        <f>AN39</f>
        <v>0</v>
      </c>
      <c r="AO40" s="592">
        <f>IFERROR((1+AF40)*(1-AG40)*(1+AM40),0)</f>
        <v>1</v>
      </c>
      <c r="AP40" s="204">
        <f t="shared" si="20"/>
        <v>0</v>
      </c>
      <c r="AQ40" s="204">
        <f t="shared" ref="AQ40:AS43" si="34">IFERROR(AQ39*$AO40,0)</f>
        <v>0</v>
      </c>
      <c r="AR40" s="204">
        <f t="shared" si="34"/>
        <v>0</v>
      </c>
      <c r="AS40" s="204">
        <f t="shared" si="34"/>
        <v>0</v>
      </c>
      <c r="AT40" s="204">
        <f t="shared" si="21"/>
        <v>0</v>
      </c>
      <c r="AU40" s="204">
        <f>IFERROR(AU39*$AO40,0)</f>
        <v>0</v>
      </c>
      <c r="AV40" s="204">
        <f t="shared" si="22"/>
        <v>0</v>
      </c>
      <c r="AW40" s="204">
        <f t="shared" ref="AW40:BI43" si="35">IFERROR(AW39*$AO40,0)</f>
        <v>0</v>
      </c>
      <c r="AX40" s="204">
        <f t="shared" si="35"/>
        <v>0</v>
      </c>
      <c r="AY40" s="204">
        <f t="shared" si="35"/>
        <v>0</v>
      </c>
      <c r="AZ40" s="204">
        <f t="shared" si="35"/>
        <v>0</v>
      </c>
      <c r="BA40" s="204">
        <f t="shared" si="35"/>
        <v>0</v>
      </c>
      <c r="BB40" s="204">
        <f t="shared" si="35"/>
        <v>0</v>
      </c>
      <c r="BC40" s="204">
        <f t="shared" si="35"/>
        <v>0</v>
      </c>
      <c r="BD40" s="204">
        <f t="shared" si="35"/>
        <v>0</v>
      </c>
      <c r="BE40" s="204">
        <f t="shared" si="35"/>
        <v>0</v>
      </c>
      <c r="BF40" s="204">
        <f t="shared" si="35"/>
        <v>0</v>
      </c>
      <c r="BG40" s="204">
        <f t="shared" si="35"/>
        <v>0</v>
      </c>
      <c r="BH40" s="204">
        <f t="shared" si="35"/>
        <v>0</v>
      </c>
      <c r="BI40" s="204">
        <f t="shared" si="35"/>
        <v>0</v>
      </c>
      <c r="BJ40" s="222">
        <f t="shared" si="23"/>
        <v>0</v>
      </c>
      <c r="BK40" s="204">
        <f t="shared" si="24"/>
        <v>0</v>
      </c>
      <c r="BL40" s="190">
        <f>IFERROR(VLOOKUP($AE40,PEREDACHA.XX.FACT.EXPENSES!$AD$46:$CI$60,34,0),0)</f>
        <v>0</v>
      </c>
      <c r="BM40" s="190">
        <f>IFERROR(VLOOKUP($AE40,PEREDACHA.XX.FACT.EXPENSES!$AD$46:$CI$60,35,0),0)</f>
        <v>0</v>
      </c>
      <c r="BN40" s="190">
        <f>IFERROR(VLOOKUP($AE40,PEREDACHA.XX.FACT.EXPENSES!$AD$46:$CI$60,36,0),0)</f>
        <v>0</v>
      </c>
      <c r="BO40" s="190">
        <f>IFERROR(VLOOKUP($AE40,PEREDACHA.XX.FACT.EXPENSES!$AD$46:$CI$60,37,0),0)</f>
        <v>0</v>
      </c>
      <c r="BP40" s="190">
        <f>IFERROR(VLOOKUP($AE40,PEREDACHA.XX.FACT.EXPENSES!$AD$46:$CI$60,38,0),0)</f>
        <v>0</v>
      </c>
      <c r="BQ40" s="207">
        <f t="shared" si="25"/>
        <v>0</v>
      </c>
      <c r="BR40" s="190">
        <f>IFERROR(VLOOKUP($AE40,PEREDACHA.XX.FACT.EXPENSES!$AD$46:$CI$60,40,0),0)</f>
        <v>0</v>
      </c>
      <c r="BS40" s="190">
        <f>IFERROR(VLOOKUP($AE40,PEREDACHA.XX.FACT.EXPENSES!$AD$46:$CI$60,41,0),0)</f>
        <v>0</v>
      </c>
      <c r="BT40" s="190">
        <f>IFERROR(VLOOKUP($AE40,PEREDACHA.XX.FACT.EXPENSES!$AD$46:$CI$60,42,0),0)</f>
        <v>0</v>
      </c>
      <c r="BU40" s="190">
        <f>IFERROR(VLOOKUP($AE40,PEREDACHA.XX.FACT.EXPENSES!$AD$46:$CI$60,43,0),0)</f>
        <v>0</v>
      </c>
      <c r="BV40" s="207">
        <f t="shared" si="26"/>
        <v>0</v>
      </c>
      <c r="BW40" s="190">
        <f>IFERROR(VLOOKUP($AE40,PEREDACHA.XX.FACT.EXPENSES!$AD$46:$CI$60,45,0),0)</f>
        <v>0</v>
      </c>
      <c r="BX40" s="190">
        <f>IFERROR(VLOOKUP($AE40,PEREDACHA.XX.FACT.EXPENSES!$AD$46:$CI$60,46,0),0)</f>
        <v>0</v>
      </c>
      <c r="BY40" s="190">
        <f>IFERROR(VLOOKUP($AE40,PEREDACHA.XX.FACT.EXPENSES!$AD$46:$CI$60,47,0),0)</f>
        <v>0</v>
      </c>
      <c r="BZ40" s="190">
        <f>IFERROR(VLOOKUP($AE40,PEREDACHA.XX.FACT.EXPENSES!$AD$46:$CI$60,48,0),0)</f>
        <v>0</v>
      </c>
      <c r="CA40" s="190">
        <f>IFERROR(VLOOKUP($AE40,PEREDACHA.XX.FACT.EXPENSES!$AD$46:$CI$60,49,0),0)</f>
        <v>0</v>
      </c>
      <c r="CB40" s="190">
        <f>IFERROR(VLOOKUP($AE40,PEREDACHA.XX.FACT.EXPENSES!$AD$46:$CI$60,50,0),0)</f>
        <v>0</v>
      </c>
      <c r="CC40" s="190">
        <f>IFERROR(VLOOKUP($AE40,PEREDACHA.XX.FACT.EXPENSES!$AD$46:$CI$60,51,0),0)</f>
        <v>0</v>
      </c>
      <c r="CD40" s="190">
        <f>IFERROR(VLOOKUP($AE40,PEREDACHA.XX.FACT.EXPENSES!$AD$46:$CI$60,52,0),0)</f>
        <v>0</v>
      </c>
      <c r="CE40" s="190">
        <f>IFERROR(VLOOKUP($AE40,PEREDACHA.XX.FACT.EXPENSES!$AD$46:$CI$60,53,0),0)</f>
        <v>0</v>
      </c>
      <c r="CF40" s="190">
        <f>IFERROR(VLOOKUP($AE40,PEREDACHA.XX.FACT.EXPENSES!$AD$46:$CI$60,54,0),0)</f>
        <v>0</v>
      </c>
      <c r="CG40" s="203">
        <f>IFERROR(((CE40+CF40)/(CK40-BK40-CB40-CE40-CF40-BP40)),0)</f>
        <v>0</v>
      </c>
      <c r="CH40" s="222">
        <f t="shared" si="27"/>
        <v>0</v>
      </c>
      <c r="CI40" s="204">
        <f>IFERROR(VLOOKUP($AE40,PEREDACHA.XX.FACT.EXPENSES!$AD$46:$CI$60,58,0),0)</f>
        <v>0</v>
      </c>
      <c r="CJ40" s="499">
        <f>IFERROR(VLOOKUP($AE40,PEREDACHA.XX.FACT.EXPENSES!$AD$46:$CJ$60,59,0),0)</f>
        <v>0</v>
      </c>
      <c r="CK40" s="222">
        <f t="shared" si="28"/>
        <v>0</v>
      </c>
      <c r="CL40" s="499"/>
      <c r="CM40" s="222">
        <f t="shared" si="29"/>
        <v>0</v>
      </c>
      <c r="CN40" s="593">
        <f t="shared" si="30"/>
        <v>0</v>
      </c>
      <c r="CO40" s="223">
        <f>IFERROR(((CK40-CK39)/CK39),0)</f>
        <v>0</v>
      </c>
      <c r="CP40" s="190"/>
      <c r="CQ40" s="594"/>
      <c r="CR40" s="594"/>
      <c r="CS40" s="208">
        <f t="shared" si="31"/>
        <v>0</v>
      </c>
      <c r="CT40" s="243">
        <f t="shared" si="32"/>
        <v>0</v>
      </c>
      <c r="CU40" s="222">
        <f>IFERROR(#REF!,0)</f>
        <v>0</v>
      </c>
      <c r="CV40" s="590">
        <f t="shared" si="33"/>
        <v>0</v>
      </c>
      <c r="CW40" s="223">
        <f>IFERROR(((CT40-CT39)/CT39),0)</f>
        <v>0</v>
      </c>
      <c r="CX40" s="190"/>
    </row>
    <row r="41" spans="2:104" ht="24" hidden="1" customHeight="1">
      <c r="B41" s="3" t="b">
        <f>IFERROR(AND(REPORT_OWNER&lt;&gt;"Версия организации",AC41&lt;=FIRST_PERIOD_IN_LT+PERIOD_LENGTH-1),FALSE)</f>
        <v>0</v>
      </c>
      <c r="D41" s="1">
        <v>39</v>
      </c>
      <c r="AB41" s="1212"/>
      <c r="AC41" s="586">
        <f>IFERROR(AC40+1,0)</f>
        <v>2028</v>
      </c>
      <c r="AD41" s="591" t="s">
        <v>2387</v>
      </c>
      <c r="AE41" s="591" t="str">
        <f t="shared" si="18"/>
        <v>план2028</v>
      </c>
      <c r="AF41" s="223">
        <f>IFERROR(VLOOKUP(AE41,PEREDACHA.XX.FACT.EXPENSES!$AD$46:$AK$60,2,0),0)</f>
        <v>0</v>
      </c>
      <c r="AG41" s="223">
        <f>IFERROR(VLOOKUP(AE41,PEREDACHA.XX.FACT.EXPENSES!$AD$46:$AK$60,3,0),0)</f>
        <v>0</v>
      </c>
      <c r="AH41" s="222">
        <f t="shared" si="19"/>
        <v>0</v>
      </c>
      <c r="AI41" s="204">
        <f>IFERROR(VLOOKUP($AE41,PEREDACHA.XX.FACT.EXPENSES!$AD$46:$AM$60,5,0),0)</f>
        <v>0</v>
      </c>
      <c r="AJ41" s="204">
        <f>IFERROR(VLOOKUP($AE41,PEREDACHA.XX.FACT.EXPENSES!$AD$46:$AM$60,6,0),0)</f>
        <v>0</v>
      </c>
      <c r="AK41" s="204">
        <f>IFERROR(VLOOKUP($AE41,PEREDACHA.XX.FACT.EXPENSES!$AD$46:$AM$60,7,0),0)</f>
        <v>0</v>
      </c>
      <c r="AL41" s="204">
        <f>IFERROR(VLOOKUP($AE41,PEREDACHA.XX.FACT.EXPENSES!$AD$46:$AM$60,8,0),0)</f>
        <v>0</v>
      </c>
      <c r="AM41" s="223">
        <f>IFERROR(IF(AH40=0,0,(AH41-AH40)/AH40*AN41),0)</f>
        <v>0</v>
      </c>
      <c r="AN41" s="222">
        <f>AN39</f>
        <v>0</v>
      </c>
      <c r="AO41" s="592">
        <f>IFERROR((1+AF41)*(1-AG41)*(1+AM41),0)</f>
        <v>1</v>
      </c>
      <c r="AP41" s="204">
        <f t="shared" si="20"/>
        <v>0</v>
      </c>
      <c r="AQ41" s="204">
        <f t="shared" si="34"/>
        <v>0</v>
      </c>
      <c r="AR41" s="204">
        <f t="shared" si="34"/>
        <v>0</v>
      </c>
      <c r="AS41" s="204">
        <f t="shared" si="34"/>
        <v>0</v>
      </c>
      <c r="AT41" s="204">
        <f t="shared" si="21"/>
        <v>0</v>
      </c>
      <c r="AU41" s="204">
        <f>IFERROR(AU40*$AO41,0)</f>
        <v>0</v>
      </c>
      <c r="AV41" s="204">
        <f t="shared" si="22"/>
        <v>0</v>
      </c>
      <c r="AW41" s="204">
        <f t="shared" si="35"/>
        <v>0</v>
      </c>
      <c r="AX41" s="204">
        <f t="shared" si="35"/>
        <v>0</v>
      </c>
      <c r="AY41" s="204">
        <f t="shared" si="35"/>
        <v>0</v>
      </c>
      <c r="AZ41" s="204">
        <f t="shared" si="35"/>
        <v>0</v>
      </c>
      <c r="BA41" s="204">
        <f t="shared" si="35"/>
        <v>0</v>
      </c>
      <c r="BB41" s="204">
        <f t="shared" si="35"/>
        <v>0</v>
      </c>
      <c r="BC41" s="204">
        <f t="shared" si="35"/>
        <v>0</v>
      </c>
      <c r="BD41" s="204">
        <f t="shared" si="35"/>
        <v>0</v>
      </c>
      <c r="BE41" s="204">
        <f t="shared" si="35"/>
        <v>0</v>
      </c>
      <c r="BF41" s="204">
        <f t="shared" si="35"/>
        <v>0</v>
      </c>
      <c r="BG41" s="204">
        <f t="shared" si="35"/>
        <v>0</v>
      </c>
      <c r="BH41" s="204">
        <f t="shared" si="35"/>
        <v>0</v>
      </c>
      <c r="BI41" s="204">
        <f t="shared" si="35"/>
        <v>0</v>
      </c>
      <c r="BJ41" s="222">
        <f t="shared" si="23"/>
        <v>0</v>
      </c>
      <c r="BK41" s="204">
        <f t="shared" si="24"/>
        <v>0</v>
      </c>
      <c r="BL41" s="190">
        <f>IFERROR(VLOOKUP($AE41,PEREDACHA.XX.FACT.EXPENSES!$AD$46:$CI$60,34,0),0)</f>
        <v>0</v>
      </c>
      <c r="BM41" s="190">
        <f>IFERROR(VLOOKUP($AE41,PEREDACHA.XX.FACT.EXPENSES!$AD$46:$CI$60,35,0),0)</f>
        <v>0</v>
      </c>
      <c r="BN41" s="190">
        <f>IFERROR(VLOOKUP($AE41,PEREDACHA.XX.FACT.EXPENSES!$AD$46:$CI$60,36,0),0)</f>
        <v>0</v>
      </c>
      <c r="BO41" s="190">
        <f>IFERROR(VLOOKUP($AE41,PEREDACHA.XX.FACT.EXPENSES!$AD$46:$CI$60,37,0),0)</f>
        <v>0</v>
      </c>
      <c r="BP41" s="190">
        <f>IFERROR(VLOOKUP($AE41,PEREDACHA.XX.FACT.EXPENSES!$AD$46:$CI$60,38,0),0)</f>
        <v>0</v>
      </c>
      <c r="BQ41" s="207">
        <f t="shared" si="25"/>
        <v>0</v>
      </c>
      <c r="BR41" s="190">
        <f>IFERROR(VLOOKUP($AE41,PEREDACHA.XX.FACT.EXPENSES!$AD$46:$CI$60,40,0),0)</f>
        <v>0</v>
      </c>
      <c r="BS41" s="190">
        <f>IFERROR(VLOOKUP($AE41,PEREDACHA.XX.FACT.EXPENSES!$AD$46:$CI$60,41,0),0)</f>
        <v>0</v>
      </c>
      <c r="BT41" s="190">
        <f>IFERROR(VLOOKUP($AE41,PEREDACHA.XX.FACT.EXPENSES!$AD$46:$CI$60,42,0),0)</f>
        <v>0</v>
      </c>
      <c r="BU41" s="190">
        <f>IFERROR(VLOOKUP($AE41,PEREDACHA.XX.FACT.EXPENSES!$AD$46:$CI$60,43,0),0)</f>
        <v>0</v>
      </c>
      <c r="BV41" s="207">
        <f t="shared" si="26"/>
        <v>0</v>
      </c>
      <c r="BW41" s="190">
        <f>IFERROR(VLOOKUP($AE41,PEREDACHA.XX.FACT.EXPENSES!$AD$46:$CI$60,45,0),0)</f>
        <v>0</v>
      </c>
      <c r="BX41" s="190">
        <f>IFERROR(VLOOKUP($AE41,PEREDACHA.XX.FACT.EXPENSES!$AD$46:$CI$60,46,0),0)</f>
        <v>0</v>
      </c>
      <c r="BY41" s="190">
        <f>IFERROR(VLOOKUP($AE41,PEREDACHA.XX.FACT.EXPENSES!$AD$46:$CI$60,47,0),0)</f>
        <v>0</v>
      </c>
      <c r="BZ41" s="190">
        <f>IFERROR(VLOOKUP($AE41,PEREDACHA.XX.FACT.EXPENSES!$AD$46:$CI$60,48,0),0)</f>
        <v>0</v>
      </c>
      <c r="CA41" s="190">
        <f>IFERROR(VLOOKUP($AE41,PEREDACHA.XX.FACT.EXPENSES!$AD$46:$CI$60,49,0),0)</f>
        <v>0</v>
      </c>
      <c r="CB41" s="190">
        <f>IFERROR(VLOOKUP($AE41,PEREDACHA.XX.FACT.EXPENSES!$AD$46:$CI$60,50,0),0)</f>
        <v>0</v>
      </c>
      <c r="CC41" s="190">
        <f>IFERROR(VLOOKUP($AE41,PEREDACHA.XX.FACT.EXPENSES!$AD$46:$CI$60,51,0),0)</f>
        <v>0</v>
      </c>
      <c r="CD41" s="190">
        <f>IFERROR(VLOOKUP($AE41,PEREDACHA.XX.FACT.EXPENSES!$AD$46:$CI$60,52,0),0)</f>
        <v>0</v>
      </c>
      <c r="CE41" s="190">
        <f>IFERROR(VLOOKUP($AE41,PEREDACHA.XX.FACT.EXPENSES!$AD$46:$CI$60,53,0),0)</f>
        <v>0</v>
      </c>
      <c r="CF41" s="190">
        <f>IFERROR(VLOOKUP($AE41,PEREDACHA.XX.FACT.EXPENSES!$AD$46:$CI$60,54,0),0)</f>
        <v>0</v>
      </c>
      <c r="CG41" s="203">
        <f>IFERROR(((CE41+CF41)/(CK41-BK41-CB41-CE41-CF41-BP41)),0)</f>
        <v>0</v>
      </c>
      <c r="CH41" s="222">
        <f t="shared" si="27"/>
        <v>0</v>
      </c>
      <c r="CI41" s="204">
        <f>IFERROR(VLOOKUP($AE41,PEREDACHA.XX.FACT.EXPENSES!$AD$46:$CI$60,58,0),0)</f>
        <v>0</v>
      </c>
      <c r="CJ41" s="499">
        <f>IFERROR(VLOOKUP($AE41,PEREDACHA.XX.FACT.EXPENSES!$AD$46:$CJ$60,59,0),0)</f>
        <v>0</v>
      </c>
      <c r="CK41" s="222">
        <f t="shared" si="28"/>
        <v>0</v>
      </c>
      <c r="CL41" s="499"/>
      <c r="CM41" s="222">
        <f t="shared" si="29"/>
        <v>0</v>
      </c>
      <c r="CN41" s="593">
        <f t="shared" si="30"/>
        <v>0</v>
      </c>
      <c r="CO41" s="223">
        <f>IFERROR(((CK41-CK40)/CK40),0)</f>
        <v>0</v>
      </c>
      <c r="CP41" s="190"/>
      <c r="CQ41" s="594"/>
      <c r="CR41" s="594"/>
      <c r="CS41" s="208">
        <f t="shared" si="31"/>
        <v>0</v>
      </c>
      <c r="CT41" s="243">
        <f t="shared" si="32"/>
        <v>0</v>
      </c>
      <c r="CU41" s="499"/>
      <c r="CV41" s="590">
        <f t="shared" si="33"/>
        <v>0</v>
      </c>
      <c r="CW41" s="223">
        <f>IFERROR(((CT41-CT40)/CT40),0)</f>
        <v>0</v>
      </c>
      <c r="CX41" s="190"/>
    </row>
    <row r="42" spans="2:104" ht="24" hidden="1" customHeight="1">
      <c r="B42" s="3" t="b">
        <f>IFERROR(AND(REPORT_OWNER&lt;&gt;"Версия организации",AC42&lt;=FIRST_PERIOD_IN_LT+PERIOD_LENGTH-1),FALSE)</f>
        <v>0</v>
      </c>
      <c r="D42" s="1">
        <v>39</v>
      </c>
      <c r="AB42" s="1212"/>
      <c r="AC42" s="586">
        <f>IFERROR(AC41+1,0)</f>
        <v>2029</v>
      </c>
      <c r="AD42" s="591" t="s">
        <v>2387</v>
      </c>
      <c r="AE42" s="591" t="str">
        <f t="shared" si="18"/>
        <v>план2029</v>
      </c>
      <c r="AF42" s="223">
        <f>IFERROR(VLOOKUP(AE42,PEREDACHA.XX.FACT.EXPENSES!$AD$46:$AK$60,2,0),0)</f>
        <v>0</v>
      </c>
      <c r="AG42" s="223">
        <f>IFERROR(VLOOKUP(AE42,PEREDACHA.XX.FACT.EXPENSES!$AD$46:$AK$60,3,0),0)</f>
        <v>0</v>
      </c>
      <c r="AH42" s="222">
        <f t="shared" si="19"/>
        <v>0</v>
      </c>
      <c r="AI42" s="204">
        <f>IFERROR(VLOOKUP($AE42,PEREDACHA.XX.FACT.EXPENSES!$AD$46:$AM$60,5,0),0)</f>
        <v>0</v>
      </c>
      <c r="AJ42" s="204">
        <f>IFERROR(VLOOKUP($AE42,PEREDACHA.XX.FACT.EXPENSES!$AD$46:$AM$60,6,0),0)</f>
        <v>0</v>
      </c>
      <c r="AK42" s="204">
        <f>IFERROR(VLOOKUP($AE42,PEREDACHA.XX.FACT.EXPENSES!$AD$46:$AM$60,7,0),0)</f>
        <v>0</v>
      </c>
      <c r="AL42" s="204">
        <f>IFERROR(VLOOKUP($AE42,PEREDACHA.XX.FACT.EXPENSES!$AD$46:$AM$60,8,0),0)</f>
        <v>0</v>
      </c>
      <c r="AM42" s="223">
        <f>IFERROR(IF(AH41=0,0,(AH42-AH41)/AH41*AN42),0)</f>
        <v>0</v>
      </c>
      <c r="AN42" s="222">
        <f>AN39</f>
        <v>0</v>
      </c>
      <c r="AO42" s="592">
        <f>IFERROR((1+AF42)*(1-AG42)*(1+AM42),0)</f>
        <v>1</v>
      </c>
      <c r="AP42" s="204">
        <f t="shared" si="20"/>
        <v>0</v>
      </c>
      <c r="AQ42" s="204">
        <f t="shared" si="34"/>
        <v>0</v>
      </c>
      <c r="AR42" s="204">
        <f t="shared" si="34"/>
        <v>0</v>
      </c>
      <c r="AS42" s="204">
        <f t="shared" si="34"/>
        <v>0</v>
      </c>
      <c r="AT42" s="204">
        <f t="shared" si="21"/>
        <v>0</v>
      </c>
      <c r="AU42" s="204">
        <f>IFERROR(AU41*$AO42,0)</f>
        <v>0</v>
      </c>
      <c r="AV42" s="204">
        <f t="shared" si="22"/>
        <v>0</v>
      </c>
      <c r="AW42" s="204">
        <f t="shared" si="35"/>
        <v>0</v>
      </c>
      <c r="AX42" s="204">
        <f t="shared" si="35"/>
        <v>0</v>
      </c>
      <c r="AY42" s="204">
        <f t="shared" si="35"/>
        <v>0</v>
      </c>
      <c r="AZ42" s="204">
        <f t="shared" si="35"/>
        <v>0</v>
      </c>
      <c r="BA42" s="204">
        <f t="shared" si="35"/>
        <v>0</v>
      </c>
      <c r="BB42" s="204">
        <f t="shared" si="35"/>
        <v>0</v>
      </c>
      <c r="BC42" s="204">
        <f t="shared" si="35"/>
        <v>0</v>
      </c>
      <c r="BD42" s="204">
        <f t="shared" si="35"/>
        <v>0</v>
      </c>
      <c r="BE42" s="204">
        <f t="shared" si="35"/>
        <v>0</v>
      </c>
      <c r="BF42" s="204">
        <f t="shared" si="35"/>
        <v>0</v>
      </c>
      <c r="BG42" s="204">
        <f t="shared" si="35"/>
        <v>0</v>
      </c>
      <c r="BH42" s="204">
        <f t="shared" si="35"/>
        <v>0</v>
      </c>
      <c r="BI42" s="204">
        <f t="shared" si="35"/>
        <v>0</v>
      </c>
      <c r="BJ42" s="222">
        <f t="shared" si="23"/>
        <v>0</v>
      </c>
      <c r="BK42" s="204">
        <f t="shared" si="24"/>
        <v>0</v>
      </c>
      <c r="BL42" s="190">
        <f>IFERROR(VLOOKUP($AE42,PEREDACHA.XX.FACT.EXPENSES!$AD$46:$CI$60,34,0),0)</f>
        <v>0</v>
      </c>
      <c r="BM42" s="190">
        <f>IFERROR(VLOOKUP($AE42,PEREDACHA.XX.FACT.EXPENSES!$AD$46:$CI$60,35,0),0)</f>
        <v>0</v>
      </c>
      <c r="BN42" s="190">
        <f>IFERROR(VLOOKUP($AE42,PEREDACHA.XX.FACT.EXPENSES!$AD$46:$CI$60,36,0),0)</f>
        <v>0</v>
      </c>
      <c r="BO42" s="190">
        <f>IFERROR(VLOOKUP($AE42,PEREDACHA.XX.FACT.EXPENSES!$AD$46:$CI$60,37,0),0)</f>
        <v>0</v>
      </c>
      <c r="BP42" s="190">
        <f>IFERROR(VLOOKUP($AE42,PEREDACHA.XX.FACT.EXPENSES!$AD$46:$CI$60,38,0),0)</f>
        <v>0</v>
      </c>
      <c r="BQ42" s="207">
        <f t="shared" si="25"/>
        <v>0</v>
      </c>
      <c r="BR42" s="190">
        <f>IFERROR(VLOOKUP($AE42,PEREDACHA.XX.FACT.EXPENSES!$AD$46:$CI$60,40,0),0)</f>
        <v>0</v>
      </c>
      <c r="BS42" s="190">
        <f>IFERROR(VLOOKUP($AE42,PEREDACHA.XX.FACT.EXPENSES!$AD$46:$CI$60,41,0),0)</f>
        <v>0</v>
      </c>
      <c r="BT42" s="190">
        <f>IFERROR(VLOOKUP($AE42,PEREDACHA.XX.FACT.EXPENSES!$AD$46:$CI$60,42,0),0)</f>
        <v>0</v>
      </c>
      <c r="BU42" s="190">
        <f>IFERROR(VLOOKUP($AE42,PEREDACHA.XX.FACT.EXPENSES!$AD$46:$CI$60,43,0),0)</f>
        <v>0</v>
      </c>
      <c r="BV42" s="207">
        <f t="shared" si="26"/>
        <v>0</v>
      </c>
      <c r="BW42" s="190">
        <f>IFERROR(VLOOKUP($AE42,PEREDACHA.XX.FACT.EXPENSES!$AD$46:$CI$60,45,0),0)</f>
        <v>0</v>
      </c>
      <c r="BX42" s="190">
        <f>IFERROR(VLOOKUP($AE42,PEREDACHA.XX.FACT.EXPENSES!$AD$46:$CI$60,46,0),0)</f>
        <v>0</v>
      </c>
      <c r="BY42" s="190">
        <f>IFERROR(VLOOKUP($AE42,PEREDACHA.XX.FACT.EXPENSES!$AD$46:$CI$60,47,0),0)</f>
        <v>0</v>
      </c>
      <c r="BZ42" s="190">
        <f>IFERROR(VLOOKUP($AE42,PEREDACHA.XX.FACT.EXPENSES!$AD$46:$CI$60,48,0),0)</f>
        <v>0</v>
      </c>
      <c r="CA42" s="190">
        <f>IFERROR(VLOOKUP($AE42,PEREDACHA.XX.FACT.EXPENSES!$AD$46:$CI$60,49,0),0)</f>
        <v>0</v>
      </c>
      <c r="CB42" s="190">
        <f>IFERROR(VLOOKUP($AE42,PEREDACHA.XX.FACT.EXPENSES!$AD$46:$CI$60,50,0),0)</f>
        <v>0</v>
      </c>
      <c r="CC42" s="190">
        <f>IFERROR(VLOOKUP($AE42,PEREDACHA.XX.FACT.EXPENSES!$AD$46:$CI$60,51,0),0)</f>
        <v>0</v>
      </c>
      <c r="CD42" s="190">
        <f>IFERROR(VLOOKUP($AE42,PEREDACHA.XX.FACT.EXPENSES!$AD$46:$CI$60,52,0),0)</f>
        <v>0</v>
      </c>
      <c r="CE42" s="190">
        <f>IFERROR(VLOOKUP($AE42,PEREDACHA.XX.FACT.EXPENSES!$AD$46:$CI$60,53,0),0)</f>
        <v>0</v>
      </c>
      <c r="CF42" s="190">
        <f>IFERROR(VLOOKUP($AE42,PEREDACHA.XX.FACT.EXPENSES!$AD$46:$CI$60,54,0),0)</f>
        <v>0</v>
      </c>
      <c r="CG42" s="203">
        <f>IFERROR(((CE42+CF42)/(CK42-BK42-CB42-CE42-CF42-BP42)),0)</f>
        <v>0</v>
      </c>
      <c r="CH42" s="222">
        <f t="shared" si="27"/>
        <v>0</v>
      </c>
      <c r="CI42" s="204">
        <f>IFERROR(VLOOKUP($AE42,PEREDACHA.XX.FACT.EXPENSES!$AD$46:$CI$60,58,0),0)</f>
        <v>0</v>
      </c>
      <c r="CJ42" s="499">
        <f>IFERROR(VLOOKUP($AE42,PEREDACHA.XX.FACT.EXPENSES!$AD$46:$CJ$60,59,0),0)</f>
        <v>0</v>
      </c>
      <c r="CK42" s="222">
        <f t="shared" si="28"/>
        <v>0</v>
      </c>
      <c r="CL42" s="499"/>
      <c r="CM42" s="222">
        <f t="shared" si="29"/>
        <v>0</v>
      </c>
      <c r="CN42" s="593">
        <f t="shared" si="30"/>
        <v>0</v>
      </c>
      <c r="CO42" s="223">
        <f>IFERROR(((CK42-CK41)/CK41),0)</f>
        <v>0</v>
      </c>
      <c r="CP42" s="190"/>
      <c r="CQ42" s="594"/>
      <c r="CR42" s="594"/>
      <c r="CS42" s="208">
        <f t="shared" si="31"/>
        <v>0</v>
      </c>
      <c r="CT42" s="243">
        <f t="shared" si="32"/>
        <v>0</v>
      </c>
      <c r="CU42" s="499"/>
      <c r="CV42" s="590">
        <f t="shared" si="33"/>
        <v>0</v>
      </c>
      <c r="CW42" s="223">
        <f>IFERROR(((CT42-CT41)/CT41),0)</f>
        <v>0</v>
      </c>
      <c r="CX42" s="190"/>
    </row>
    <row r="43" spans="2:104" ht="23.25" hidden="1" customHeight="1">
      <c r="B43" s="3" t="b">
        <f>IFERROR(AND(REPORT_OWNER&lt;&gt;"Версия организации",AC43&lt;=FIRST_PERIOD_IN_LT+PERIOD_LENGTH-1),FALSE)</f>
        <v>0</v>
      </c>
      <c r="D43" s="1">
        <v>37</v>
      </c>
      <c r="AB43" s="1213"/>
      <c r="AC43" s="586">
        <f>IFERROR(AC42+1,0)</f>
        <v>2030</v>
      </c>
      <c r="AD43" s="591" t="s">
        <v>2387</v>
      </c>
      <c r="AE43" s="591" t="str">
        <f t="shared" si="18"/>
        <v>план2030</v>
      </c>
      <c r="AF43" s="223">
        <f>IFERROR(VLOOKUP(AE43,PEREDACHA.XX.FACT.EXPENSES!$AD$46:$AK$60,2,0),0)</f>
        <v>0</v>
      </c>
      <c r="AG43" s="223">
        <f>IFERROR(VLOOKUP(AE43,PEREDACHA.XX.FACT.EXPENSES!$AD$28:$AK$42,3,0),0)</f>
        <v>0</v>
      </c>
      <c r="AH43" s="222">
        <f t="shared" si="19"/>
        <v>0</v>
      </c>
      <c r="AI43" s="204">
        <f>IFERROR(VLOOKUP($AE43,PEREDACHA.XX.FACT.EXPENSES!$AD$46:$AM$60,5,0),0)</f>
        <v>0</v>
      </c>
      <c r="AJ43" s="204">
        <f>IFERROR(VLOOKUP($AE43,PEREDACHA.XX.FACT.EXPENSES!$AD$46:$AM$60,6,0),0)</f>
        <v>0</v>
      </c>
      <c r="AK43" s="204">
        <f>IFERROR(VLOOKUP($AE43,PEREDACHA.XX.FACT.EXPENSES!$AD$46:$AM$60,7,0),0)</f>
        <v>0</v>
      </c>
      <c r="AL43" s="204">
        <f>IFERROR(VLOOKUP($AE43,PEREDACHA.XX.FACT.EXPENSES!$AD$46:$AM$60,8,0),0)</f>
        <v>0</v>
      </c>
      <c r="AM43" s="223">
        <f>IFERROR(IF(AH42=0,0,(AH43-AH42)/AH42*AN43),0)</f>
        <v>0</v>
      </c>
      <c r="AN43" s="222">
        <f>AN39</f>
        <v>0</v>
      </c>
      <c r="AO43" s="592">
        <f>IFERROR((1+AF43)*(1-AG43)*(1+AM43),0)</f>
        <v>1</v>
      </c>
      <c r="AP43" s="204">
        <f t="shared" si="20"/>
        <v>0</v>
      </c>
      <c r="AQ43" s="204">
        <f t="shared" si="34"/>
        <v>0</v>
      </c>
      <c r="AR43" s="204">
        <f t="shared" si="34"/>
        <v>0</v>
      </c>
      <c r="AS43" s="204">
        <f t="shared" si="34"/>
        <v>0</v>
      </c>
      <c r="AT43" s="204">
        <f t="shared" si="21"/>
        <v>0</v>
      </c>
      <c r="AU43" s="204">
        <f>IFERROR(AU42*$AO43,0)</f>
        <v>0</v>
      </c>
      <c r="AV43" s="204">
        <f t="shared" si="22"/>
        <v>0</v>
      </c>
      <c r="AW43" s="204">
        <f t="shared" si="35"/>
        <v>0</v>
      </c>
      <c r="AX43" s="204">
        <f t="shared" si="35"/>
        <v>0</v>
      </c>
      <c r="AY43" s="204">
        <f t="shared" si="35"/>
        <v>0</v>
      </c>
      <c r="AZ43" s="204">
        <f t="shared" si="35"/>
        <v>0</v>
      </c>
      <c r="BA43" s="204">
        <f t="shared" si="35"/>
        <v>0</v>
      </c>
      <c r="BB43" s="204">
        <f t="shared" si="35"/>
        <v>0</v>
      </c>
      <c r="BC43" s="204">
        <f t="shared" si="35"/>
        <v>0</v>
      </c>
      <c r="BD43" s="204">
        <f t="shared" si="35"/>
        <v>0</v>
      </c>
      <c r="BE43" s="204">
        <f t="shared" si="35"/>
        <v>0</v>
      </c>
      <c r="BF43" s="204">
        <f t="shared" si="35"/>
        <v>0</v>
      </c>
      <c r="BG43" s="204">
        <f t="shared" si="35"/>
        <v>0</v>
      </c>
      <c r="BH43" s="204">
        <f t="shared" si="35"/>
        <v>0</v>
      </c>
      <c r="BI43" s="204">
        <f t="shared" si="35"/>
        <v>0</v>
      </c>
      <c r="BJ43" s="222">
        <f t="shared" si="23"/>
        <v>0</v>
      </c>
      <c r="BK43" s="204">
        <f t="shared" si="24"/>
        <v>0</v>
      </c>
      <c r="BL43" s="190">
        <f>IFERROR(VLOOKUP($AE43,PEREDACHA.XX.FACT.EXPENSES!$AD$46:$CI$60,34,0),0)</f>
        <v>0</v>
      </c>
      <c r="BM43" s="190">
        <f>IFERROR(VLOOKUP($AE43,PEREDACHA.XX.FACT.EXPENSES!$AD$46:$CI$60,35,0),0)</f>
        <v>0</v>
      </c>
      <c r="BN43" s="190">
        <f>IFERROR(VLOOKUP($AE43,PEREDACHA.XX.FACT.EXPENSES!$AD$46:$CI$60,36,0),0)</f>
        <v>0</v>
      </c>
      <c r="BO43" s="190">
        <f>IFERROR(VLOOKUP($AE43,PEREDACHA.XX.FACT.EXPENSES!$AD$46:$CI$60,37,0),0)</f>
        <v>0</v>
      </c>
      <c r="BP43" s="190">
        <f>IFERROR(VLOOKUP($AE43,PEREDACHA.XX.FACT.EXPENSES!$AD$46:$CI$60,38,0),0)</f>
        <v>0</v>
      </c>
      <c r="BQ43" s="207">
        <f t="shared" si="25"/>
        <v>0</v>
      </c>
      <c r="BR43" s="190">
        <f>IFERROR(VLOOKUP($AE43,PEREDACHA.XX.FACT.EXPENSES!$AD$46:$CI$60,40,0),0)</f>
        <v>0</v>
      </c>
      <c r="BS43" s="190">
        <f>IFERROR(VLOOKUP($AE43,PEREDACHA.XX.FACT.EXPENSES!$AD$46:$CI$60,41,0),0)</f>
        <v>0</v>
      </c>
      <c r="BT43" s="190">
        <f>IFERROR(VLOOKUP($AE43,PEREDACHA.XX.FACT.EXPENSES!$AD$46:$CI$60,42,0),0)</f>
        <v>0</v>
      </c>
      <c r="BU43" s="190">
        <f>IFERROR(VLOOKUP($AE43,PEREDACHA.XX.FACT.EXPENSES!$AD$46:$CI$60,43,0),0)</f>
        <v>0</v>
      </c>
      <c r="BV43" s="207">
        <f t="shared" si="26"/>
        <v>0</v>
      </c>
      <c r="BW43" s="190">
        <f>IFERROR(VLOOKUP($AE43,PEREDACHA.XX.FACT.EXPENSES!$AD$46:$CI$60,45,0),0)</f>
        <v>0</v>
      </c>
      <c r="BX43" s="190">
        <f>IFERROR(VLOOKUP($AE43,PEREDACHA.XX.FACT.EXPENSES!$AD$46:$CI$60,46,0),0)</f>
        <v>0</v>
      </c>
      <c r="BY43" s="190">
        <f>IFERROR(VLOOKUP($AE43,PEREDACHA.XX.FACT.EXPENSES!$AD$46:$CI$60,47,0),0)</f>
        <v>0</v>
      </c>
      <c r="BZ43" s="190">
        <f>IFERROR(VLOOKUP($AE43,PEREDACHA.XX.FACT.EXPENSES!$AD$46:$CI$60,48,0),0)</f>
        <v>0</v>
      </c>
      <c r="CA43" s="190">
        <f>IFERROR(VLOOKUP($AE43,PEREDACHA.XX.FACT.EXPENSES!$AD$46:$CI$60,49,0),0)</f>
        <v>0</v>
      </c>
      <c r="CB43" s="190">
        <f>IFERROR(VLOOKUP($AE43,PEREDACHA.XX.FACT.EXPENSES!$AD$46:$CI$60,50,0),0)</f>
        <v>0</v>
      </c>
      <c r="CC43" s="190">
        <f>IFERROR(VLOOKUP($AE43,PEREDACHA.XX.FACT.EXPENSES!$AD$46:$CI$60,51,0),0)</f>
        <v>0</v>
      </c>
      <c r="CD43" s="190">
        <f>IFERROR(VLOOKUP($AE43,PEREDACHA.XX.FACT.EXPENSES!$AD$46:$CI$60,52,0),0)</f>
        <v>0</v>
      </c>
      <c r="CE43" s="190">
        <f>IFERROR(VLOOKUP($AE43,PEREDACHA.XX.FACT.EXPENSES!$AD$46:$CI$60,53,0),0)</f>
        <v>0</v>
      </c>
      <c r="CF43" s="190">
        <f>IFERROR(VLOOKUP($AE43,PEREDACHA.XX.FACT.EXPENSES!$AD$46:$CI$60,54,0),0)</f>
        <v>0</v>
      </c>
      <c r="CG43" s="203">
        <f>IFERROR(((CE43+CF43)/(CK43-BK43-CB43-CE43-CF43-BP43)),0)</f>
        <v>0</v>
      </c>
      <c r="CH43" s="222">
        <f t="shared" si="27"/>
        <v>0</v>
      </c>
      <c r="CI43" s="204">
        <f>IFERROR(VLOOKUP($AE43,PEREDACHA.XX.FACT.EXPENSES!$AD$46:$CI$60,58,0),0)</f>
        <v>0</v>
      </c>
      <c r="CJ43" s="499">
        <f>IFERROR(VLOOKUP($AE43,PEREDACHA.XX.FACT.EXPENSES!$AD$46:$CJ$60,59,0),0)</f>
        <v>0</v>
      </c>
      <c r="CK43" s="222">
        <f t="shared" si="28"/>
        <v>0</v>
      </c>
      <c r="CL43" s="499"/>
      <c r="CM43" s="222">
        <f t="shared" si="29"/>
        <v>0</v>
      </c>
      <c r="CN43" s="593">
        <f t="shared" si="30"/>
        <v>0</v>
      </c>
      <c r="CO43" s="223">
        <f>IFERROR(((CK43-CK42)/CK42),0)</f>
        <v>0</v>
      </c>
      <c r="CP43" s="190"/>
      <c r="CQ43" s="594"/>
      <c r="CR43" s="594"/>
      <c r="CS43" s="208">
        <f t="shared" si="31"/>
        <v>0</v>
      </c>
      <c r="CT43" s="243">
        <f t="shared" si="32"/>
        <v>0</v>
      </c>
      <c r="CU43" s="499"/>
      <c r="CV43" s="590">
        <f t="shared" si="33"/>
        <v>0</v>
      </c>
      <c r="CW43" s="223">
        <f>IFERROR(((CT43-CT42)/CT42),0)</f>
        <v>0</v>
      </c>
      <c r="CX43" s="190"/>
    </row>
    <row r="44" spans="2:104" ht="11.25" hidden="1" customHeight="1">
      <c r="D44" s="2">
        <v>0</v>
      </c>
      <c r="CZ44" s="2" t="s">
        <v>42</v>
      </c>
    </row>
  </sheetData>
  <sheetProtection formatColumns="0" formatRows="0" insertRows="0" deleteColumns="0" deleteRows="0" sort="0" autoFilter="0"/>
  <mergeCells count="78">
    <mergeCell ref="CN24:CN26"/>
    <mergeCell ref="CE25:CE26"/>
    <mergeCell ref="CF25:CF26"/>
    <mergeCell ref="CG25:CG26"/>
    <mergeCell ref="CH25:CH26"/>
    <mergeCell ref="BK24:CH24"/>
    <mergeCell ref="CI24:CI26"/>
    <mergeCell ref="CC25:CC26"/>
    <mergeCell ref="BW25:BW26"/>
    <mergeCell ref="BX25:BX26"/>
    <mergeCell ref="BY25:BY26"/>
    <mergeCell ref="BZ25:BZ26"/>
    <mergeCell ref="CJ24:CJ26"/>
    <mergeCell ref="CA25:CA26"/>
    <mergeCell ref="BU25:BU26"/>
    <mergeCell ref="BV25:BV26"/>
    <mergeCell ref="CW24:CW26"/>
    <mergeCell ref="CX24:CX26"/>
    <mergeCell ref="AF25:AF26"/>
    <mergeCell ref="AG25:AG26"/>
    <mergeCell ref="AH25:AH26"/>
    <mergeCell ref="AI25:AI26"/>
    <mergeCell ref="AJ25:AJ26"/>
    <mergeCell ref="AK25:AK26"/>
    <mergeCell ref="AL25:AL26"/>
    <mergeCell ref="AM25:AM26"/>
    <mergeCell ref="CP24:CP26"/>
    <mergeCell ref="CQ24:CQ26"/>
    <mergeCell ref="CR24:CR26"/>
    <mergeCell ref="CS24:CS26"/>
    <mergeCell ref="CT24:CT26"/>
    <mergeCell ref="AX25:AX26"/>
    <mergeCell ref="CU24:CV25"/>
    <mergeCell ref="CB25:CB26"/>
    <mergeCell ref="BJ25:BJ26"/>
    <mergeCell ref="BK25:BK26"/>
    <mergeCell ref="BL25:BM25"/>
    <mergeCell ref="BN25:BN26"/>
    <mergeCell ref="BO25:BO26"/>
    <mergeCell ref="BP25:BP26"/>
    <mergeCell ref="CD25:CD26"/>
    <mergeCell ref="CO24:CO26"/>
    <mergeCell ref="BQ25:BQ26"/>
    <mergeCell ref="BR25:BR26"/>
    <mergeCell ref="BS25:BS26"/>
    <mergeCell ref="BT25:BT26"/>
    <mergeCell ref="CK24:CK26"/>
    <mergeCell ref="CL24:CM25"/>
    <mergeCell ref="BE25:BE26"/>
    <mergeCell ref="BF25:BF26"/>
    <mergeCell ref="BG25:BG26"/>
    <mergeCell ref="AS25:AS26"/>
    <mergeCell ref="AT25:AT26"/>
    <mergeCell ref="AZ25:AZ26"/>
    <mergeCell ref="BA25:BA26"/>
    <mergeCell ref="AU25:AU26"/>
    <mergeCell ref="BH25:BH26"/>
    <mergeCell ref="BI25:BI26"/>
    <mergeCell ref="BC25:BC26"/>
    <mergeCell ref="AB29:AB34"/>
    <mergeCell ref="AB22:AC22"/>
    <mergeCell ref="AB23:AC23"/>
    <mergeCell ref="AB24:AB27"/>
    <mergeCell ref="AC24:AC27"/>
    <mergeCell ref="AF24:AO24"/>
    <mergeCell ref="AP24:BJ24"/>
    <mergeCell ref="AN25:AN26"/>
    <mergeCell ref="AO25:AO26"/>
    <mergeCell ref="AP25:AP26"/>
    <mergeCell ref="AQ25:AQ26"/>
    <mergeCell ref="BB25:BB26"/>
    <mergeCell ref="BD25:BD26"/>
    <mergeCell ref="AB38:AB43"/>
    <mergeCell ref="AV25:AV26"/>
    <mergeCell ref="AW25:AW26"/>
    <mergeCell ref="AY25:AY26"/>
    <mergeCell ref="AB21:AD21"/>
    <mergeCell ref="AR25:AR2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S452"/>
  <sheetViews>
    <sheetView showGridLines="0" topLeftCell="A2" workbookViewId="0"/>
  </sheetViews>
  <sheetFormatPr defaultRowHeight="11.25" customHeight="1"/>
  <cols>
    <col min="3" max="3" width="28" customWidth="1"/>
    <col min="4" max="4" width="17.28515625" customWidth="1"/>
    <col min="5" max="5" width="193.140625" customWidth="1"/>
    <col min="6" max="6" width="13.42578125" customWidth="1"/>
    <col min="7" max="7" width="14.28515625" customWidth="1"/>
  </cols>
  <sheetData>
    <row r="1" spans="1:7" ht="39" hidden="1" customHeight="1">
      <c r="B1" t="s">
        <v>2388</v>
      </c>
      <c r="C1" t="s">
        <v>2389</v>
      </c>
      <c r="D1" t="s">
        <v>2390</v>
      </c>
      <c r="E1" t="s">
        <v>2391</v>
      </c>
      <c r="F1" t="s">
        <v>2392</v>
      </c>
      <c r="G1" t="s">
        <v>2393</v>
      </c>
    </row>
    <row r="2" spans="1:7" ht="96.75" customHeight="1">
      <c r="A2" s="759" t="s">
        <v>1327</v>
      </c>
      <c r="B2" s="759" t="s">
        <v>2394</v>
      </c>
      <c r="C2" s="760" t="s">
        <v>2395</v>
      </c>
      <c r="D2" s="760" t="s">
        <v>2396</v>
      </c>
      <c r="E2" s="759" t="s">
        <v>2397</v>
      </c>
      <c r="F2" s="759" t="s">
        <v>2398</v>
      </c>
      <c r="G2" s="759" t="s">
        <v>1037</v>
      </c>
    </row>
    <row r="3" spans="1:7" ht="11.25" customHeight="1">
      <c r="A3" s="761" t="s">
        <v>618</v>
      </c>
      <c r="B3" s="762" t="b">
        <f>AND('Список листов'!B41,'Список листов'!B40)</f>
        <v>1</v>
      </c>
      <c r="C3" s="763" t="e">
        <f>#REF!</f>
        <v>#REF!</v>
      </c>
      <c r="D3" s="763" t="e">
        <f>SUM(#REF!)</f>
        <v>#REF!</v>
      </c>
      <c r="E3" s="761" t="s">
        <v>2399</v>
      </c>
      <c r="F3" s="761" t="s">
        <v>2400</v>
      </c>
      <c r="G3" s="764" t="b">
        <f t="shared" ref="G3:G50" si="0">IFERROR(ABS(C3-D3)&lt;1/100,FALSE)</f>
        <v>0</v>
      </c>
    </row>
    <row r="4" spans="1:7" ht="11.25" customHeight="1">
      <c r="A4" s="761" t="s">
        <v>622</v>
      </c>
      <c r="B4" s="762" t="b">
        <f>AND('Список листов'!B41,'Список листов'!B40)</f>
        <v>1</v>
      </c>
      <c r="C4" s="763" t="e">
        <f>#REF!</f>
        <v>#REF!</v>
      </c>
      <c r="D4" s="763" t="e">
        <f>SUM(#REF!)</f>
        <v>#REF!</v>
      </c>
      <c r="E4" s="761" t="s">
        <v>2401</v>
      </c>
      <c r="F4" s="761" t="s">
        <v>2400</v>
      </c>
      <c r="G4" s="764" t="b">
        <f t="shared" si="0"/>
        <v>0</v>
      </c>
    </row>
    <row r="5" spans="1:7" ht="11.25" customHeight="1">
      <c r="A5" s="761" t="s">
        <v>625</v>
      </c>
      <c r="B5" s="762" t="b">
        <f>AND('Список листов'!B41,'Список листов'!B40)</f>
        <v>1</v>
      </c>
      <c r="C5" s="763" t="e">
        <f>#REF!</f>
        <v>#REF!</v>
      </c>
      <c r="D5" s="763" t="e">
        <f>#REF!</f>
        <v>#REF!</v>
      </c>
      <c r="E5" s="761" t="s">
        <v>2402</v>
      </c>
      <c r="F5" s="761" t="s">
        <v>2400</v>
      </c>
      <c r="G5" s="764" t="b">
        <f t="shared" si="0"/>
        <v>0</v>
      </c>
    </row>
    <row r="6" spans="1:7" ht="11.25" customHeight="1">
      <c r="A6" s="761" t="s">
        <v>628</v>
      </c>
      <c r="B6" s="762" t="b">
        <f>AND('Список листов'!B41,'Список листов'!B40)</f>
        <v>1</v>
      </c>
      <c r="C6" s="763" t="e">
        <f>#REF!</f>
        <v>#REF!</v>
      </c>
      <c r="D6" s="763" t="e">
        <f>#REF!</f>
        <v>#REF!</v>
      </c>
      <c r="E6" s="761" t="s">
        <v>2403</v>
      </c>
      <c r="F6" s="761" t="s">
        <v>2400</v>
      </c>
      <c r="G6" s="764" t="b">
        <f t="shared" si="0"/>
        <v>0</v>
      </c>
    </row>
    <row r="7" spans="1:7" ht="11.25" customHeight="1">
      <c r="A7" s="761" t="s">
        <v>902</v>
      </c>
      <c r="B7" s="762" t="b">
        <f>AND('Список листов'!B41,'Список листов'!B40)</f>
        <v>1</v>
      </c>
      <c r="C7" s="763" t="e">
        <f>#REF!</f>
        <v>#REF!</v>
      </c>
      <c r="D7" s="763" t="e">
        <f>#REF!</f>
        <v>#REF!</v>
      </c>
      <c r="E7" s="761" t="s">
        <v>2403</v>
      </c>
      <c r="F7" s="761" t="s">
        <v>2400</v>
      </c>
      <c r="G7" s="764" t="b">
        <f t="shared" si="0"/>
        <v>0</v>
      </c>
    </row>
    <row r="8" spans="1:7" ht="11.25" customHeight="1">
      <c r="A8" s="761" t="s">
        <v>903</v>
      </c>
      <c r="B8" s="762" t="b">
        <f>AND('Список листов'!B41,'Список листов'!B40)</f>
        <v>1</v>
      </c>
      <c r="C8" s="763" t="e">
        <f>#REF!</f>
        <v>#REF!</v>
      </c>
      <c r="D8" s="763" t="e">
        <f>SUM(#REF!)</f>
        <v>#REF!</v>
      </c>
      <c r="E8" s="761" t="s">
        <v>2404</v>
      </c>
      <c r="F8" s="761" t="s">
        <v>2400</v>
      </c>
      <c r="G8" s="764" t="b">
        <f t="shared" si="0"/>
        <v>0</v>
      </c>
    </row>
    <row r="9" spans="1:7" ht="11.25" customHeight="1">
      <c r="A9" s="761" t="s">
        <v>904</v>
      </c>
      <c r="B9" s="762" t="b">
        <f>AND('Список листов'!B41,'Список листов'!B40)</f>
        <v>1</v>
      </c>
      <c r="C9" s="763" t="e">
        <f>#REF!</f>
        <v>#REF!</v>
      </c>
      <c r="D9" s="763" t="e">
        <f>SUM(#REF!)</f>
        <v>#REF!</v>
      </c>
      <c r="E9" s="761" t="s">
        <v>2405</v>
      </c>
      <c r="F9" s="761" t="s">
        <v>2400</v>
      </c>
      <c r="G9" s="764" t="b">
        <f t="shared" si="0"/>
        <v>0</v>
      </c>
    </row>
    <row r="10" spans="1:7" ht="11.25" customHeight="1">
      <c r="A10" s="761" t="s">
        <v>905</v>
      </c>
      <c r="B10" s="762" t="b">
        <f>AND('Список листов'!B41,'Список листов'!B40)</f>
        <v>1</v>
      </c>
      <c r="C10" s="763" t="e">
        <f>#REF!</f>
        <v>#REF!</v>
      </c>
      <c r="D10" s="763" t="e">
        <f>#REF!</f>
        <v>#REF!</v>
      </c>
      <c r="E10" s="761" t="s">
        <v>2403</v>
      </c>
      <c r="F10" s="761" t="s">
        <v>2400</v>
      </c>
      <c r="G10" s="764" t="b">
        <f t="shared" si="0"/>
        <v>0</v>
      </c>
    </row>
    <row r="11" spans="1:7" ht="11.25" customHeight="1">
      <c r="A11" s="761" t="s">
        <v>906</v>
      </c>
      <c r="B11" s="762" t="b">
        <f>AND('Список листов'!B41,'Список листов'!B40)</f>
        <v>1</v>
      </c>
      <c r="C11" s="763" t="e">
        <f>#REF!</f>
        <v>#REF!</v>
      </c>
      <c r="D11" s="763" t="e">
        <f>SUM(#REF!)</f>
        <v>#REF!</v>
      </c>
      <c r="E11" s="761" t="s">
        <v>2406</v>
      </c>
      <c r="F11" s="761" t="s">
        <v>2400</v>
      </c>
      <c r="G11" s="764" t="b">
        <f t="shared" si="0"/>
        <v>0</v>
      </c>
    </row>
    <row r="12" spans="1:7" ht="11.25" customHeight="1">
      <c r="A12" s="761" t="s">
        <v>2031</v>
      </c>
      <c r="B12" s="762" t="b">
        <f>AND('Список листов'!B41,'Список листов'!B40)</f>
        <v>1</v>
      </c>
      <c r="C12" s="763" t="e">
        <f>#REF!</f>
        <v>#REF!</v>
      </c>
      <c r="D12" s="763" t="e">
        <f>SUM(#REF!)</f>
        <v>#REF!</v>
      </c>
      <c r="E12" s="761" t="s">
        <v>2407</v>
      </c>
      <c r="F12" s="761" t="s">
        <v>2400</v>
      </c>
      <c r="G12" s="764" t="b">
        <f t="shared" si="0"/>
        <v>0</v>
      </c>
    </row>
    <row r="13" spans="1:7" ht="11.25" customHeight="1">
      <c r="A13" s="761" t="s">
        <v>2033</v>
      </c>
      <c r="B13" s="762" t="b">
        <f>AND('Список листов'!B41,'Список листов'!B40)</f>
        <v>1</v>
      </c>
      <c r="C13" s="763" t="e">
        <f>#REF!</f>
        <v>#REF!</v>
      </c>
      <c r="D13" s="763" t="e">
        <f>#REF!</f>
        <v>#REF!</v>
      </c>
      <c r="E13" s="761" t="s">
        <v>2408</v>
      </c>
      <c r="F13" s="761" t="s">
        <v>2400</v>
      </c>
      <c r="G13" s="764" t="b">
        <f t="shared" si="0"/>
        <v>0</v>
      </c>
    </row>
    <row r="14" spans="1:7" ht="11.25" customHeight="1">
      <c r="A14" s="761" t="s">
        <v>2037</v>
      </c>
      <c r="B14" s="762" t="b">
        <f>AND('Список листов'!B41,'Список листов'!B40)</f>
        <v>1</v>
      </c>
      <c r="C14" s="763" t="e">
        <f>#REF!</f>
        <v>#REF!</v>
      </c>
      <c r="D14" s="763" t="e">
        <f>#REF!</f>
        <v>#REF!</v>
      </c>
      <c r="E14" s="761" t="s">
        <v>2409</v>
      </c>
      <c r="F14" s="761" t="s">
        <v>2400</v>
      </c>
      <c r="G14" s="764" t="b">
        <f t="shared" si="0"/>
        <v>0</v>
      </c>
    </row>
    <row r="15" spans="1:7" ht="11.25" customHeight="1">
      <c r="A15" s="761" t="s">
        <v>2041</v>
      </c>
      <c r="B15" s="762" t="b">
        <f>AND('Список листов'!B41,'Список листов'!B40)</f>
        <v>1</v>
      </c>
      <c r="C15" s="763" t="e">
        <f>#REF!</f>
        <v>#REF!</v>
      </c>
      <c r="D15" s="763" t="e">
        <f>#REF!</f>
        <v>#REF!</v>
      </c>
      <c r="E15" s="761" t="s">
        <v>2409</v>
      </c>
      <c r="F15" s="761" t="s">
        <v>2400</v>
      </c>
      <c r="G15" s="764" t="b">
        <f t="shared" si="0"/>
        <v>0</v>
      </c>
    </row>
    <row r="16" spans="1:7" ht="11.25" customHeight="1">
      <c r="A16" s="761" t="s">
        <v>2045</v>
      </c>
      <c r="B16" s="762" t="b">
        <f>AND('Список листов'!B41,'Список листов'!B40)</f>
        <v>1</v>
      </c>
      <c r="C16" s="763" t="e">
        <f>#REF!</f>
        <v>#REF!</v>
      </c>
      <c r="D16" s="763" t="e">
        <f>SUM(#REF!)</f>
        <v>#REF!</v>
      </c>
      <c r="E16" s="761" t="s">
        <v>2410</v>
      </c>
      <c r="F16" s="761" t="s">
        <v>2400</v>
      </c>
      <c r="G16" s="764" t="b">
        <f t="shared" si="0"/>
        <v>0</v>
      </c>
    </row>
    <row r="17" spans="1:7" ht="11.25" customHeight="1">
      <c r="A17" s="761" t="s">
        <v>2049</v>
      </c>
      <c r="B17" s="762" t="b">
        <f>AND('Список листов'!B41,'Список листов'!B40)</f>
        <v>1</v>
      </c>
      <c r="C17" s="763" t="e">
        <f>#REF!</f>
        <v>#REF!</v>
      </c>
      <c r="D17" s="763" t="e">
        <f>SUM(#REF!)</f>
        <v>#REF!</v>
      </c>
      <c r="E17" s="761" t="s">
        <v>2407</v>
      </c>
      <c r="F17" s="761" t="s">
        <v>2400</v>
      </c>
      <c r="G17" s="764" t="b">
        <f t="shared" si="0"/>
        <v>0</v>
      </c>
    </row>
    <row r="18" spans="1:7" ht="11.25" customHeight="1">
      <c r="A18" s="761" t="s">
        <v>2053</v>
      </c>
      <c r="B18" s="762" t="b">
        <f>AND('Список листов'!B41,'Список листов'!B40)</f>
        <v>1</v>
      </c>
      <c r="C18" s="763" t="e">
        <f>#REF!</f>
        <v>#REF!</v>
      </c>
      <c r="D18" s="763" t="e">
        <f>#REF!</f>
        <v>#REF!</v>
      </c>
      <c r="E18" s="761" t="s">
        <v>2408</v>
      </c>
      <c r="F18" s="761" t="s">
        <v>2400</v>
      </c>
      <c r="G18" s="764" t="b">
        <f t="shared" si="0"/>
        <v>0</v>
      </c>
    </row>
    <row r="19" spans="1:7" ht="11.25" customHeight="1">
      <c r="A19" s="761" t="s">
        <v>2057</v>
      </c>
      <c r="B19" s="762" t="b">
        <f>AND('Список листов'!B41,'Список листов'!B40)</f>
        <v>1</v>
      </c>
      <c r="C19" s="763" t="e">
        <f>#REF!</f>
        <v>#REF!</v>
      </c>
      <c r="D19" s="763" t="e">
        <f>SUM(#REF!)</f>
        <v>#REF!</v>
      </c>
      <c r="E19" s="761" t="s">
        <v>2411</v>
      </c>
      <c r="F19" s="761" t="s">
        <v>2400</v>
      </c>
      <c r="G19" s="764" t="b">
        <f t="shared" si="0"/>
        <v>0</v>
      </c>
    </row>
    <row r="20" spans="1:7" ht="11.25" customHeight="1">
      <c r="A20" s="761" t="s">
        <v>2061</v>
      </c>
      <c r="B20" s="762" t="b">
        <f>AND('Список листов'!B41,'Список листов'!B40)</f>
        <v>1</v>
      </c>
      <c r="C20" s="763" t="e">
        <f>#REF!</f>
        <v>#REF!</v>
      </c>
      <c r="D20" s="763" t="e">
        <f>SUM(#REF!)</f>
        <v>#REF!</v>
      </c>
      <c r="E20" s="761" t="s">
        <v>2412</v>
      </c>
      <c r="F20" s="761" t="s">
        <v>2400</v>
      </c>
      <c r="G20" s="764" t="b">
        <f t="shared" si="0"/>
        <v>0</v>
      </c>
    </row>
    <row r="21" spans="1:7" ht="11.25" customHeight="1">
      <c r="A21" s="761" t="s">
        <v>2062</v>
      </c>
      <c r="B21" s="762" t="b">
        <f>AND('Список листов'!B41,'Список листов'!B40)</f>
        <v>1</v>
      </c>
      <c r="C21" s="763" t="e">
        <f>#REF!</f>
        <v>#REF!</v>
      </c>
      <c r="D21" s="763" t="e">
        <f>#REF!</f>
        <v>#REF!</v>
      </c>
      <c r="E21" s="761" t="s">
        <v>2413</v>
      </c>
      <c r="F21" s="761" t="s">
        <v>2400</v>
      </c>
      <c r="G21" s="764" t="b">
        <f t="shared" si="0"/>
        <v>0</v>
      </c>
    </row>
    <row r="22" spans="1:7" ht="11.25" customHeight="1">
      <c r="A22" s="761" t="s">
        <v>2123</v>
      </c>
      <c r="B22" s="762" t="b">
        <f>AND('Список листов'!B41,'Список листов'!B40)</f>
        <v>1</v>
      </c>
      <c r="C22" s="763" t="e">
        <f>#REF!</f>
        <v>#REF!</v>
      </c>
      <c r="D22" s="763" t="e">
        <f>#REF!</f>
        <v>#REF!</v>
      </c>
      <c r="E22" s="761" t="s">
        <v>2414</v>
      </c>
      <c r="F22" s="761" t="s">
        <v>2400</v>
      </c>
      <c r="G22" s="764" t="b">
        <f t="shared" si="0"/>
        <v>0</v>
      </c>
    </row>
    <row r="23" spans="1:7" ht="11.25" customHeight="1">
      <c r="A23" s="761" t="s">
        <v>2124</v>
      </c>
      <c r="B23" s="762" t="b">
        <f>AND('Список листов'!B41,'Список листов'!B40)</f>
        <v>1</v>
      </c>
      <c r="C23" s="763" t="e">
        <f>#REF!</f>
        <v>#REF!</v>
      </c>
      <c r="D23" s="763" t="e">
        <f>#REF!</f>
        <v>#REF!</v>
      </c>
      <c r="E23" s="761" t="s">
        <v>2414</v>
      </c>
      <c r="F23" s="761" t="s">
        <v>2400</v>
      </c>
      <c r="G23" s="764" t="b">
        <f t="shared" si="0"/>
        <v>0</v>
      </c>
    </row>
    <row r="24" spans="1:7" ht="11.25" customHeight="1">
      <c r="A24" s="761" t="s">
        <v>2125</v>
      </c>
      <c r="B24" s="762" t="b">
        <f>AND('Список листов'!B41,'Список листов'!B40)</f>
        <v>1</v>
      </c>
      <c r="C24" s="763" t="e">
        <f>#REF!</f>
        <v>#REF!</v>
      </c>
      <c r="D24" s="763" t="e">
        <f>SUM(#REF!)</f>
        <v>#REF!</v>
      </c>
      <c r="E24" s="761" t="s">
        <v>2415</v>
      </c>
      <c r="F24" s="761" t="s">
        <v>2400</v>
      </c>
      <c r="G24" s="764" t="b">
        <f t="shared" si="0"/>
        <v>0</v>
      </c>
    </row>
    <row r="25" spans="1:7" ht="11.25" customHeight="1">
      <c r="A25" s="761" t="s">
        <v>2126</v>
      </c>
      <c r="B25" s="762" t="b">
        <f>AND('Список листов'!B41,'Список листов'!B40)</f>
        <v>1</v>
      </c>
      <c r="C25" s="763" t="e">
        <f>#REF!</f>
        <v>#REF!</v>
      </c>
      <c r="D25" s="763" t="e">
        <f>SUM(#REF!)</f>
        <v>#REF!</v>
      </c>
      <c r="E25" s="761" t="s">
        <v>2412</v>
      </c>
      <c r="F25" s="761" t="s">
        <v>2400</v>
      </c>
      <c r="G25" s="764" t="b">
        <f t="shared" si="0"/>
        <v>0</v>
      </c>
    </row>
    <row r="26" spans="1:7" ht="11.25" customHeight="1">
      <c r="A26" s="761" t="s">
        <v>2127</v>
      </c>
      <c r="B26" s="762" t="b">
        <f>AND('Список листов'!B41,'Список листов'!B40)</f>
        <v>1</v>
      </c>
      <c r="C26" s="763" t="e">
        <f>#REF!</f>
        <v>#REF!</v>
      </c>
      <c r="D26" s="763" t="e">
        <f>#REF!</f>
        <v>#REF!</v>
      </c>
      <c r="E26" s="761" t="s">
        <v>2413</v>
      </c>
      <c r="F26" s="761" t="s">
        <v>2400</v>
      </c>
      <c r="G26" s="764" t="b">
        <f t="shared" si="0"/>
        <v>0</v>
      </c>
    </row>
    <row r="27" spans="1:7" ht="11.25" customHeight="1">
      <c r="A27" s="761" t="s">
        <v>2128</v>
      </c>
      <c r="B27" s="762" t="b">
        <f>AND('Список листов'!B41,'Список листов'!B40)</f>
        <v>1</v>
      </c>
      <c r="C27" s="763" t="e">
        <f>#REF!</f>
        <v>#REF!</v>
      </c>
      <c r="D27" s="763" t="e">
        <f>SUM(#REF!)</f>
        <v>#REF!</v>
      </c>
      <c r="E27" s="761" t="s">
        <v>2406</v>
      </c>
      <c r="F27" s="761" t="s">
        <v>2400</v>
      </c>
      <c r="G27" s="764" t="b">
        <f t="shared" si="0"/>
        <v>0</v>
      </c>
    </row>
    <row r="28" spans="1:7" ht="11.25" customHeight="1">
      <c r="A28" s="761" t="s">
        <v>2129</v>
      </c>
      <c r="B28" s="762" t="b">
        <f>AND('Список листов'!B41,'Список листов'!B40)</f>
        <v>1</v>
      </c>
      <c r="C28" s="763" t="e">
        <f>#REF!</f>
        <v>#REF!</v>
      </c>
      <c r="D28" s="763" t="e">
        <f>SUM(#REF!)</f>
        <v>#REF!</v>
      </c>
      <c r="E28" s="761" t="s">
        <v>2407</v>
      </c>
      <c r="F28" s="761" t="s">
        <v>2400</v>
      </c>
      <c r="G28" s="764" t="b">
        <f t="shared" si="0"/>
        <v>0</v>
      </c>
    </row>
    <row r="29" spans="1:7" ht="11.25" customHeight="1">
      <c r="A29" s="761" t="s">
        <v>2130</v>
      </c>
      <c r="B29" s="762" t="b">
        <f>AND('Список листов'!B41,'Список листов'!B40)</f>
        <v>1</v>
      </c>
      <c r="C29" s="763" t="e">
        <f>#REF!</f>
        <v>#REF!</v>
      </c>
      <c r="D29" s="763" t="e">
        <f>#REF!</f>
        <v>#REF!</v>
      </c>
      <c r="E29" s="761" t="s">
        <v>2408</v>
      </c>
      <c r="F29" s="761" t="s">
        <v>2400</v>
      </c>
      <c r="G29" s="764" t="b">
        <f t="shared" si="0"/>
        <v>0</v>
      </c>
    </row>
    <row r="30" spans="1:7" ht="11.25" customHeight="1">
      <c r="A30" s="761" t="s">
        <v>2131</v>
      </c>
      <c r="B30" s="762" t="b">
        <f>AND('Список листов'!B41,'Список листов'!B40)</f>
        <v>1</v>
      </c>
      <c r="C30" s="763" t="e">
        <f>#REF!</f>
        <v>#REF!</v>
      </c>
      <c r="D30" s="763" t="e">
        <f>#REF!</f>
        <v>#REF!</v>
      </c>
      <c r="E30" s="761" t="s">
        <v>2409</v>
      </c>
      <c r="F30" s="761" t="s">
        <v>2400</v>
      </c>
      <c r="G30" s="764" t="b">
        <f t="shared" si="0"/>
        <v>0</v>
      </c>
    </row>
    <row r="31" spans="1:7" ht="11.25" customHeight="1">
      <c r="A31" s="761" t="s">
        <v>2132</v>
      </c>
      <c r="B31" s="762" t="b">
        <f>AND('Список листов'!B41,'Список листов'!B40)</f>
        <v>1</v>
      </c>
      <c r="C31" s="763" t="e">
        <f>#REF!</f>
        <v>#REF!</v>
      </c>
      <c r="D31" s="763" t="e">
        <f>#REF!</f>
        <v>#REF!</v>
      </c>
      <c r="E31" s="761" t="s">
        <v>2409</v>
      </c>
      <c r="F31" s="761" t="s">
        <v>2400</v>
      </c>
      <c r="G31" s="764" t="b">
        <f t="shared" si="0"/>
        <v>0</v>
      </c>
    </row>
    <row r="32" spans="1:7" ht="11.25" customHeight="1">
      <c r="A32" s="761" t="s">
        <v>2133</v>
      </c>
      <c r="B32" s="762" t="b">
        <f>AND('Список листов'!B41,'Список листов'!B40)</f>
        <v>1</v>
      </c>
      <c r="C32" s="763" t="e">
        <f>#REF!</f>
        <v>#REF!</v>
      </c>
      <c r="D32" s="763" t="e">
        <f>SUM(#REF!)</f>
        <v>#REF!</v>
      </c>
      <c r="E32" s="761" t="s">
        <v>2410</v>
      </c>
      <c r="F32" s="761" t="s">
        <v>2400</v>
      </c>
      <c r="G32" s="764" t="b">
        <f t="shared" si="0"/>
        <v>0</v>
      </c>
    </row>
    <row r="33" spans="1:7" ht="11.25" customHeight="1">
      <c r="A33" s="761" t="s">
        <v>2134</v>
      </c>
      <c r="B33" s="762" t="b">
        <f>AND('Список листов'!B41,'Список листов'!B40)</f>
        <v>1</v>
      </c>
      <c r="C33" s="763" t="e">
        <f>#REF!</f>
        <v>#REF!</v>
      </c>
      <c r="D33" s="763" t="e">
        <f>SUM(#REF!)</f>
        <v>#REF!</v>
      </c>
      <c r="E33" s="761" t="s">
        <v>2407</v>
      </c>
      <c r="F33" s="761" t="s">
        <v>2400</v>
      </c>
      <c r="G33" s="764" t="b">
        <f t="shared" si="0"/>
        <v>0</v>
      </c>
    </row>
    <row r="34" spans="1:7" ht="11.25" customHeight="1">
      <c r="A34" s="761" t="s">
        <v>2135</v>
      </c>
      <c r="B34" s="762" t="b">
        <f>AND('Список листов'!B41,'Список листов'!B40)</f>
        <v>1</v>
      </c>
      <c r="C34" s="763" t="e">
        <f>#REF!</f>
        <v>#REF!</v>
      </c>
      <c r="D34" s="763" t="e">
        <f>#REF!</f>
        <v>#REF!</v>
      </c>
      <c r="E34" s="761" t="s">
        <v>2408</v>
      </c>
      <c r="F34" s="761" t="s">
        <v>2400</v>
      </c>
      <c r="G34" s="764" t="b">
        <f t="shared" si="0"/>
        <v>0</v>
      </c>
    </row>
    <row r="35" spans="1:7" ht="11.25" customHeight="1">
      <c r="A35" s="761" t="s">
        <v>2136</v>
      </c>
      <c r="B35" s="762" t="b">
        <f>AND('Список листов'!B41,'Список листов'!B40)</f>
        <v>1</v>
      </c>
      <c r="C35" s="763" t="e">
        <f>#REF!</f>
        <v>#REF!</v>
      </c>
      <c r="D35" s="763" t="e">
        <f>SUM(#REF!)</f>
        <v>#REF!</v>
      </c>
      <c r="E35" s="761" t="s">
        <v>2406</v>
      </c>
      <c r="F35" s="761" t="s">
        <v>2400</v>
      </c>
      <c r="G35" s="764" t="b">
        <f t="shared" si="0"/>
        <v>0</v>
      </c>
    </row>
    <row r="36" spans="1:7" ht="11.25" customHeight="1">
      <c r="A36" s="761" t="s">
        <v>2416</v>
      </c>
      <c r="B36" s="762" t="b">
        <f>AND('Список листов'!B41,'Список листов'!B40)</f>
        <v>1</v>
      </c>
      <c r="C36" s="763" t="e">
        <f>#REF!</f>
        <v>#REF!</v>
      </c>
      <c r="D36" s="763" t="e">
        <f>SUM(#REF!)</f>
        <v>#REF!</v>
      </c>
      <c r="E36" s="761" t="s">
        <v>2407</v>
      </c>
      <c r="F36" s="761" t="s">
        <v>2400</v>
      </c>
      <c r="G36" s="764" t="b">
        <f t="shared" si="0"/>
        <v>0</v>
      </c>
    </row>
    <row r="37" spans="1:7" ht="11.25" customHeight="1">
      <c r="A37" s="761" t="s">
        <v>2417</v>
      </c>
      <c r="B37" s="762" t="b">
        <f>AND('Список листов'!B41,'Список листов'!B40)</f>
        <v>1</v>
      </c>
      <c r="C37" s="763" t="e">
        <f>#REF!</f>
        <v>#REF!</v>
      </c>
      <c r="D37" s="763" t="e">
        <f>#REF!</f>
        <v>#REF!</v>
      </c>
      <c r="E37" s="761" t="s">
        <v>2408</v>
      </c>
      <c r="F37" s="761" t="s">
        <v>2400</v>
      </c>
      <c r="G37" s="764" t="b">
        <f t="shared" si="0"/>
        <v>0</v>
      </c>
    </row>
    <row r="38" spans="1:7" ht="11.25" customHeight="1">
      <c r="A38" s="761" t="s">
        <v>2418</v>
      </c>
      <c r="B38" s="762" t="b">
        <f>AND('Список листов'!B41,'Список листов'!B40)</f>
        <v>1</v>
      </c>
      <c r="C38" s="763" t="e">
        <f>#REF!</f>
        <v>#REF!</v>
      </c>
      <c r="D38" s="763" t="e">
        <f>#REF!</f>
        <v>#REF!</v>
      </c>
      <c r="E38" s="761" t="s">
        <v>2409</v>
      </c>
      <c r="F38" s="761" t="s">
        <v>2400</v>
      </c>
      <c r="G38" s="764" t="b">
        <f t="shared" si="0"/>
        <v>0</v>
      </c>
    </row>
    <row r="39" spans="1:7" ht="11.25" customHeight="1">
      <c r="A39" s="761" t="s">
        <v>2419</v>
      </c>
      <c r="B39" s="762" t="b">
        <f>AND('Список листов'!B41,'Список листов'!B40)</f>
        <v>1</v>
      </c>
      <c r="C39" s="763" t="e">
        <f>#REF!</f>
        <v>#REF!</v>
      </c>
      <c r="D39" s="763" t="e">
        <f>#REF!</f>
        <v>#REF!</v>
      </c>
      <c r="E39" s="761" t="s">
        <v>2409</v>
      </c>
      <c r="F39" s="761" t="s">
        <v>2400</v>
      </c>
      <c r="G39" s="764" t="b">
        <f t="shared" si="0"/>
        <v>0</v>
      </c>
    </row>
    <row r="40" spans="1:7" ht="11.25" customHeight="1">
      <c r="A40" s="761" t="s">
        <v>2420</v>
      </c>
      <c r="B40" s="762" t="b">
        <f>AND('Список листов'!B41,'Список листов'!B40)</f>
        <v>1</v>
      </c>
      <c r="C40" s="763" t="e">
        <f>#REF!</f>
        <v>#REF!</v>
      </c>
      <c r="D40" s="763" t="e">
        <f>SUM(#REF!)</f>
        <v>#REF!</v>
      </c>
      <c r="E40" s="761" t="s">
        <v>2410</v>
      </c>
      <c r="F40" s="761" t="s">
        <v>2400</v>
      </c>
      <c r="G40" s="764" t="b">
        <f t="shared" si="0"/>
        <v>0</v>
      </c>
    </row>
    <row r="41" spans="1:7" ht="11.25" customHeight="1">
      <c r="A41" s="761" t="s">
        <v>2421</v>
      </c>
      <c r="B41" s="762" t="b">
        <f>AND('Список листов'!B41,'Список листов'!B40)</f>
        <v>1</v>
      </c>
      <c r="C41" s="763" t="e">
        <f>#REF!</f>
        <v>#REF!</v>
      </c>
      <c r="D41" s="763" t="e">
        <f>SUM(#REF!)</f>
        <v>#REF!</v>
      </c>
      <c r="E41" s="761" t="s">
        <v>2407</v>
      </c>
      <c r="F41" s="761" t="s">
        <v>2400</v>
      </c>
      <c r="G41" s="764" t="b">
        <f t="shared" si="0"/>
        <v>0</v>
      </c>
    </row>
    <row r="42" spans="1:7" ht="11.25" customHeight="1">
      <c r="A42" s="761" t="s">
        <v>2422</v>
      </c>
      <c r="B42" s="762" t="b">
        <f>AND('Список листов'!B41,'Список листов'!B40)</f>
        <v>1</v>
      </c>
      <c r="C42" s="763" t="e">
        <f>#REF!</f>
        <v>#REF!</v>
      </c>
      <c r="D42" s="763" t="e">
        <f>#REF!</f>
        <v>#REF!</v>
      </c>
      <c r="E42" s="761" t="s">
        <v>2408</v>
      </c>
      <c r="F42" s="761" t="s">
        <v>2400</v>
      </c>
      <c r="G42" s="764" t="b">
        <f t="shared" si="0"/>
        <v>0</v>
      </c>
    </row>
    <row r="43" spans="1:7" ht="11.25" customHeight="1">
      <c r="A43" s="761" t="s">
        <v>2136</v>
      </c>
      <c r="B43" s="762" t="b">
        <f>AND('Список листов'!B41,'Список листов'!B40)</f>
        <v>1</v>
      </c>
      <c r="C43" s="763" t="e">
        <f>SUM(#REF!)</f>
        <v>#REF!</v>
      </c>
      <c r="D43" s="763" t="e">
        <f>SUM(#REF!)</f>
        <v>#REF!</v>
      </c>
      <c r="E43" s="761" t="s">
        <v>2423</v>
      </c>
      <c r="F43" s="761" t="s">
        <v>2400</v>
      </c>
      <c r="G43" s="764" t="b">
        <f t="shared" si="0"/>
        <v>0</v>
      </c>
    </row>
    <row r="44" spans="1:7" ht="11.25" customHeight="1">
      <c r="A44" s="761" t="s">
        <v>2416</v>
      </c>
      <c r="B44" s="762" t="b">
        <f>AND('Список листов'!B41,'Список листов'!B40)</f>
        <v>1</v>
      </c>
      <c r="C44" s="763" t="e">
        <f>SUM(#REF!)</f>
        <v>#REF!</v>
      </c>
      <c r="D44" s="763" t="e">
        <f>SUM(#REF!)</f>
        <v>#REF!</v>
      </c>
      <c r="E44" s="761" t="s">
        <v>2424</v>
      </c>
      <c r="F44" s="761" t="s">
        <v>2400</v>
      </c>
      <c r="G44" s="764" t="b">
        <f t="shared" si="0"/>
        <v>0</v>
      </c>
    </row>
    <row r="45" spans="1:7" ht="11.25" customHeight="1">
      <c r="A45" s="761" t="s">
        <v>2417</v>
      </c>
      <c r="B45" s="762" t="b">
        <f>AND('Список листов'!B41,'Список листов'!B40)</f>
        <v>1</v>
      </c>
      <c r="C45" s="763" t="e">
        <f>SUM(#REF!)</f>
        <v>#REF!</v>
      </c>
      <c r="D45" s="763" t="e">
        <f>#REF!</f>
        <v>#REF!</v>
      </c>
      <c r="E45" s="761" t="s">
        <v>2425</v>
      </c>
      <c r="F45" s="761" t="s">
        <v>2400</v>
      </c>
      <c r="G45" s="764" t="b">
        <f t="shared" si="0"/>
        <v>0</v>
      </c>
    </row>
    <row r="46" spans="1:7" ht="11.25" customHeight="1">
      <c r="A46" s="761" t="s">
        <v>2418</v>
      </c>
      <c r="B46" s="762" t="b">
        <f>AND('Список листов'!B41,'Список листов'!B40)</f>
        <v>1</v>
      </c>
      <c r="C46" s="763" t="e">
        <f>SUM(#REF!)</f>
        <v>#REF!</v>
      </c>
      <c r="D46" s="763" t="e">
        <f>#REF!</f>
        <v>#REF!</v>
      </c>
      <c r="E46" s="761" t="s">
        <v>2426</v>
      </c>
      <c r="F46" s="761" t="s">
        <v>2400</v>
      </c>
      <c r="G46" s="764" t="b">
        <f t="shared" si="0"/>
        <v>0</v>
      </c>
    </row>
    <row r="47" spans="1:7" ht="11.25" customHeight="1">
      <c r="A47" s="761" t="s">
        <v>2419</v>
      </c>
      <c r="B47" s="762" t="b">
        <f>AND('Список листов'!B41,'Список листов'!B40)</f>
        <v>1</v>
      </c>
      <c r="C47" s="763" t="e">
        <f>SUM(#REF!)</f>
        <v>#REF!</v>
      </c>
      <c r="D47" s="763" t="e">
        <f>#REF!</f>
        <v>#REF!</v>
      </c>
      <c r="E47" s="761" t="s">
        <v>2426</v>
      </c>
      <c r="F47" s="761" t="s">
        <v>2400</v>
      </c>
      <c r="G47" s="764" t="b">
        <f t="shared" si="0"/>
        <v>0</v>
      </c>
    </row>
    <row r="48" spans="1:7" ht="11.25" customHeight="1">
      <c r="A48" s="761" t="s">
        <v>2420</v>
      </c>
      <c r="B48" s="762" t="b">
        <f>AND('Список листов'!B41,'Список листов'!B40)</f>
        <v>1</v>
      </c>
      <c r="C48" s="763" t="e">
        <f>SUM(#REF!)</f>
        <v>#REF!</v>
      </c>
      <c r="D48" s="763" t="e">
        <f>SUM(#REF!)</f>
        <v>#REF!</v>
      </c>
      <c r="E48" s="761" t="s">
        <v>2427</v>
      </c>
      <c r="F48" s="761" t="s">
        <v>2400</v>
      </c>
      <c r="G48" s="764" t="b">
        <f t="shared" si="0"/>
        <v>0</v>
      </c>
    </row>
    <row r="49" spans="1:7" ht="11.25" customHeight="1">
      <c r="A49" s="761" t="s">
        <v>2421</v>
      </c>
      <c r="B49" s="762" t="b">
        <f>AND('Список листов'!B41,'Список листов'!B40)</f>
        <v>1</v>
      </c>
      <c r="C49" s="763" t="e">
        <f>SUM(#REF!)</f>
        <v>#REF!</v>
      </c>
      <c r="D49" s="763" t="e">
        <f>SUM(#REF!)</f>
        <v>#REF!</v>
      </c>
      <c r="E49" s="761" t="s">
        <v>2424</v>
      </c>
      <c r="F49" s="761" t="s">
        <v>2400</v>
      </c>
      <c r="G49" s="764" t="b">
        <f t="shared" si="0"/>
        <v>0</v>
      </c>
    </row>
    <row r="50" spans="1:7" ht="11.25" customHeight="1">
      <c r="A50" s="761" t="s">
        <v>2422</v>
      </c>
      <c r="B50" s="762" t="b">
        <f>AND('Список листов'!B41,'Список листов'!B40)</f>
        <v>1</v>
      </c>
      <c r="C50" s="763" t="e">
        <f>SUM(#REF!)</f>
        <v>#REF!</v>
      </c>
      <c r="D50" s="763" t="e">
        <f>#REF!</f>
        <v>#REF!</v>
      </c>
      <c r="E50" s="761" t="s">
        <v>2425</v>
      </c>
      <c r="F50" s="761" t="s">
        <v>2400</v>
      </c>
      <c r="G50" s="764" t="b">
        <f t="shared" si="0"/>
        <v>0</v>
      </c>
    </row>
    <row r="51" spans="1:7" ht="11.25" customHeight="1">
      <c r="A51" s="761" t="s">
        <v>2428</v>
      </c>
      <c r="B51" s="762" t="b">
        <f>AND('Список листов'!$B$43,'Список листов'!$B$40)</f>
        <v>1</v>
      </c>
      <c r="C51" s="763" t="e">
        <f>ROUND(#REF!,2)</f>
        <v>#REF!</v>
      </c>
      <c r="D51" s="763" t="e">
        <f>ROUND(#REF!,2)</f>
        <v>#REF!</v>
      </c>
      <c r="E51" s="761" t="s">
        <v>2429</v>
      </c>
      <c r="F51" s="761" t="s">
        <v>2400</v>
      </c>
      <c r="G51" s="764" t="b">
        <f t="shared" ref="G51:G82" si="1">IFERROR(C51=D51,FALSE)</f>
        <v>0</v>
      </c>
    </row>
    <row r="52" spans="1:7" ht="11.25" customHeight="1">
      <c r="A52" s="761" t="s">
        <v>2430</v>
      </c>
      <c r="B52" s="762" t="b">
        <f>AND('Список листов'!$B$43,'Список листов'!$B$40)</f>
        <v>1</v>
      </c>
      <c r="C52" s="763" t="e">
        <f>ROUND(#REF!,2)</f>
        <v>#REF!</v>
      </c>
      <c r="D52" s="763" t="e">
        <f>ROUND(#REF!,2)</f>
        <v>#REF!</v>
      </c>
      <c r="E52" s="761" t="s">
        <v>2431</v>
      </c>
      <c r="F52" s="761" t="s">
        <v>2400</v>
      </c>
      <c r="G52" s="764" t="b">
        <f t="shared" si="1"/>
        <v>0</v>
      </c>
    </row>
    <row r="53" spans="1:7" ht="11.25" customHeight="1">
      <c r="A53" s="761" t="s">
        <v>2432</v>
      </c>
      <c r="B53" s="762" t="b">
        <f>AND('Список листов'!$B$43,'Список листов'!$B$40)</f>
        <v>1</v>
      </c>
      <c r="C53" s="763" t="e">
        <f>ROUND(#REF!,2)</f>
        <v>#REF!</v>
      </c>
      <c r="D53" s="763" t="e">
        <f>ROUND((#REF!+#REF!),2)</f>
        <v>#REF!</v>
      </c>
      <c r="E53" s="761" t="s">
        <v>2433</v>
      </c>
      <c r="F53" s="761" t="s">
        <v>2400</v>
      </c>
      <c r="G53" s="764" t="b">
        <f t="shared" si="1"/>
        <v>0</v>
      </c>
    </row>
    <row r="54" spans="1:7" ht="11.25" customHeight="1">
      <c r="A54" s="761" t="s">
        <v>2434</v>
      </c>
      <c r="B54" s="762" t="b">
        <f>AND('Список листов'!$B$43,'Список листов'!$B$40)</f>
        <v>1</v>
      </c>
      <c r="C54" s="763" t="e">
        <f>ROUND(#REF!,2)</f>
        <v>#REF!</v>
      </c>
      <c r="D54" s="763" t="e">
        <f>ROUND((#REF!+#REF!),2)</f>
        <v>#REF!</v>
      </c>
      <c r="E54" s="761" t="s">
        <v>2435</v>
      </c>
      <c r="F54" s="761" t="s">
        <v>2400</v>
      </c>
      <c r="G54" s="764" t="b">
        <f t="shared" si="1"/>
        <v>0</v>
      </c>
    </row>
    <row r="55" spans="1:7" ht="11.25" customHeight="1">
      <c r="A55" s="761" t="s">
        <v>2436</v>
      </c>
      <c r="B55" s="762" t="b">
        <f>AND('Список листов'!$B$43,'Список листов'!$B$40)</f>
        <v>1</v>
      </c>
      <c r="C55" s="763" t="e">
        <f>ROUND(#REF!,2)</f>
        <v>#REF!</v>
      </c>
      <c r="D55" s="763" t="e">
        <f>ROUND((#REF!+#REF!),2)</f>
        <v>#REF!</v>
      </c>
      <c r="E55" s="761" t="s">
        <v>2437</v>
      </c>
      <c r="F55" s="761" t="s">
        <v>2400</v>
      </c>
      <c r="G55" s="764" t="b">
        <f t="shared" si="1"/>
        <v>0</v>
      </c>
    </row>
    <row r="56" spans="1:7" ht="11.25" customHeight="1">
      <c r="A56" s="761" t="s">
        <v>2438</v>
      </c>
      <c r="B56" s="762" t="b">
        <f>AND('Список листов'!$B$43,'Список листов'!$B$40)</f>
        <v>1</v>
      </c>
      <c r="C56" s="763" t="e">
        <f>ROUND(#REF!,2)</f>
        <v>#REF!</v>
      </c>
      <c r="D56" s="763" t="e">
        <f>ROUND(#REF!,2)</f>
        <v>#REF!</v>
      </c>
      <c r="E56" s="761" t="s">
        <v>2439</v>
      </c>
      <c r="F56" s="761" t="s">
        <v>2400</v>
      </c>
      <c r="G56" s="764" t="b">
        <f t="shared" si="1"/>
        <v>0</v>
      </c>
    </row>
    <row r="57" spans="1:7" ht="11.25" customHeight="1">
      <c r="A57" s="761" t="s">
        <v>2440</v>
      </c>
      <c r="B57" s="762" t="b">
        <f>AND('Список листов'!$B$43,'Список листов'!$B$40)</f>
        <v>1</v>
      </c>
      <c r="C57" s="763" t="e">
        <f>ROUND(#REF!,2)</f>
        <v>#REF!</v>
      </c>
      <c r="D57" s="763" t="e">
        <f>ROUND(#REF!,2)</f>
        <v>#REF!</v>
      </c>
      <c r="E57" s="761" t="s">
        <v>2441</v>
      </c>
      <c r="F57" s="761" t="s">
        <v>2400</v>
      </c>
      <c r="G57" s="764" t="b">
        <f t="shared" si="1"/>
        <v>0</v>
      </c>
    </row>
    <row r="58" spans="1:7" ht="11.25" customHeight="1">
      <c r="A58" s="761" t="s">
        <v>2442</v>
      </c>
      <c r="B58" s="762" t="b">
        <f>AND('Список листов'!$B$43,'Список листов'!$B$40)</f>
        <v>1</v>
      </c>
      <c r="C58" s="763" t="e">
        <f>ROUND(#REF!,2)</f>
        <v>#REF!</v>
      </c>
      <c r="D58" s="763" t="e">
        <f>ROUND((#REF!+#REF!),2)</f>
        <v>#REF!</v>
      </c>
      <c r="E58" s="761" t="s">
        <v>2443</v>
      </c>
      <c r="F58" s="761" t="s">
        <v>2400</v>
      </c>
      <c r="G58" s="764" t="b">
        <f t="shared" si="1"/>
        <v>0</v>
      </c>
    </row>
    <row r="59" spans="1:7" ht="11.25" customHeight="1">
      <c r="A59" s="761" t="s">
        <v>2444</v>
      </c>
      <c r="B59" s="762" t="b">
        <f>AND('Список листов'!$B$43,'Список листов'!$B$40)</f>
        <v>1</v>
      </c>
      <c r="C59" s="763" t="e">
        <f>ROUND(#REF!,2)</f>
        <v>#REF!</v>
      </c>
      <c r="D59" s="763" t="e">
        <f>ROUND((#REF!+#REF!),2)</f>
        <v>#REF!</v>
      </c>
      <c r="E59" s="761" t="s">
        <v>2445</v>
      </c>
      <c r="F59" s="761" t="s">
        <v>2400</v>
      </c>
      <c r="G59" s="764" t="b">
        <f t="shared" si="1"/>
        <v>0</v>
      </c>
    </row>
    <row r="60" spans="1:7" ht="11.25" customHeight="1">
      <c r="A60" s="761" t="s">
        <v>2446</v>
      </c>
      <c r="B60" s="762" t="b">
        <f>AND('Список листов'!$B$43,'Список листов'!$B$40)</f>
        <v>1</v>
      </c>
      <c r="C60" s="763" t="e">
        <f>ROUND(#REF!,2)</f>
        <v>#REF!</v>
      </c>
      <c r="D60" s="763" t="e">
        <f>ROUND((#REF!+#REF!),2)</f>
        <v>#REF!</v>
      </c>
      <c r="E60" s="761" t="s">
        <v>2447</v>
      </c>
      <c r="F60" s="761" t="s">
        <v>2400</v>
      </c>
      <c r="G60" s="764" t="b">
        <f t="shared" si="1"/>
        <v>0</v>
      </c>
    </row>
    <row r="61" spans="1:7" ht="11.25" customHeight="1">
      <c r="A61" s="761" t="s">
        <v>2448</v>
      </c>
      <c r="B61" s="762" t="b">
        <f>AND('Список листов'!$B$43,'Список листов'!$B$40)</f>
        <v>1</v>
      </c>
      <c r="C61" s="763" t="e">
        <f>ROUND(#REF!,2)</f>
        <v>#REF!</v>
      </c>
      <c r="D61" s="763" t="e">
        <f>ROUND(#REF!,2)</f>
        <v>#REF!</v>
      </c>
      <c r="E61" s="761" t="s">
        <v>2449</v>
      </c>
      <c r="F61" s="761" t="s">
        <v>2400</v>
      </c>
      <c r="G61" s="764" t="b">
        <f t="shared" si="1"/>
        <v>0</v>
      </c>
    </row>
    <row r="62" spans="1:7" ht="11.25" customHeight="1">
      <c r="A62" s="761" t="s">
        <v>2450</v>
      </c>
      <c r="B62" s="762" t="b">
        <f>AND('Список листов'!$B$43,'Список листов'!$B$40)</f>
        <v>1</v>
      </c>
      <c r="C62" s="763" t="e">
        <f>ROUND(#REF!,2)</f>
        <v>#REF!</v>
      </c>
      <c r="D62" s="763" t="e">
        <f>ROUND(#REF!,2)</f>
        <v>#REF!</v>
      </c>
      <c r="E62" s="761" t="s">
        <v>2451</v>
      </c>
      <c r="F62" s="761" t="s">
        <v>2400</v>
      </c>
      <c r="G62" s="764" t="b">
        <f t="shared" si="1"/>
        <v>0</v>
      </c>
    </row>
    <row r="63" spans="1:7" ht="11.25" customHeight="1">
      <c r="A63" s="761" t="s">
        <v>2452</v>
      </c>
      <c r="B63" s="762" t="b">
        <f>AND('Список листов'!$B$43,'Список листов'!$B$40)</f>
        <v>1</v>
      </c>
      <c r="C63" s="763" t="e">
        <f>ROUND(#REF!,2)</f>
        <v>#REF!</v>
      </c>
      <c r="D63" s="763" t="e">
        <f>ROUND((#REF!+#REF!),2)</f>
        <v>#REF!</v>
      </c>
      <c r="E63" s="761" t="s">
        <v>2453</v>
      </c>
      <c r="F63" s="761" t="s">
        <v>2400</v>
      </c>
      <c r="G63" s="764" t="b">
        <f t="shared" si="1"/>
        <v>0</v>
      </c>
    </row>
    <row r="64" spans="1:7" ht="11.25" customHeight="1">
      <c r="A64" s="761" t="s">
        <v>2454</v>
      </c>
      <c r="B64" s="762" t="b">
        <f>AND('Список листов'!$B$43,'Список листов'!$B$40)</f>
        <v>1</v>
      </c>
      <c r="C64" s="763" t="e">
        <f>ROUND(#REF!,2)</f>
        <v>#REF!</v>
      </c>
      <c r="D64" s="763" t="e">
        <f>ROUND((#REF!+#REF!),2)</f>
        <v>#REF!</v>
      </c>
      <c r="E64" s="761" t="s">
        <v>2455</v>
      </c>
      <c r="F64" s="761" t="s">
        <v>2400</v>
      </c>
      <c r="G64" s="764" t="b">
        <f t="shared" si="1"/>
        <v>0</v>
      </c>
    </row>
    <row r="65" spans="1:7" ht="11.25" customHeight="1">
      <c r="A65" s="761" t="s">
        <v>2456</v>
      </c>
      <c r="B65" s="762" t="b">
        <f>AND('Список листов'!$B$43,'Список листов'!$B$40)</f>
        <v>1</v>
      </c>
      <c r="C65" s="763" t="e">
        <f>ROUND(#REF!,2)</f>
        <v>#REF!</v>
      </c>
      <c r="D65" s="763" t="e">
        <f>ROUND((#REF!+#REF!),2)</f>
        <v>#REF!</v>
      </c>
      <c r="E65" s="761" t="s">
        <v>2457</v>
      </c>
      <c r="F65" s="761" t="s">
        <v>2400</v>
      </c>
      <c r="G65" s="764" t="b">
        <f t="shared" si="1"/>
        <v>0</v>
      </c>
    </row>
    <row r="66" spans="1:7" ht="11.25" customHeight="1">
      <c r="A66" s="761" t="s">
        <v>2458</v>
      </c>
      <c r="B66" s="762" t="b">
        <f>AND('Список листов'!$B$43,'Список листов'!$B$40)</f>
        <v>1</v>
      </c>
      <c r="C66" s="763" t="e">
        <f>ROUND(#REF!,2)</f>
        <v>#REF!</v>
      </c>
      <c r="D66" s="763" t="e">
        <f>ROUND(#REF!,2)</f>
        <v>#REF!</v>
      </c>
      <c r="E66" s="761" t="s">
        <v>2431</v>
      </c>
      <c r="F66" s="761" t="s">
        <v>2400</v>
      </c>
      <c r="G66" s="764" t="b">
        <f t="shared" si="1"/>
        <v>0</v>
      </c>
    </row>
    <row r="67" spans="1:7" ht="11.25" customHeight="1">
      <c r="A67" s="761" t="s">
        <v>2459</v>
      </c>
      <c r="B67" s="762" t="b">
        <f>AND('Список листов'!$B$43,'Список листов'!$B$40)</f>
        <v>1</v>
      </c>
      <c r="C67" s="763" t="e">
        <f>ROUND(#REF!,2)</f>
        <v>#REF!</v>
      </c>
      <c r="D67" s="763" t="e">
        <f>ROUND((#REF!+#REF!),2)</f>
        <v>#REF!</v>
      </c>
      <c r="E67" s="761" t="s">
        <v>2433</v>
      </c>
      <c r="F67" s="761" t="s">
        <v>2400</v>
      </c>
      <c r="G67" s="764" t="b">
        <f t="shared" si="1"/>
        <v>0</v>
      </c>
    </row>
    <row r="68" spans="1:7" ht="11.25" customHeight="1">
      <c r="A68" s="761" t="s">
        <v>2460</v>
      </c>
      <c r="B68" s="762" t="b">
        <f>AND('Список листов'!$B$43,'Список листов'!$B$40)</f>
        <v>1</v>
      </c>
      <c r="C68" s="763" t="e">
        <f>ROUND(#REF!,2)</f>
        <v>#REF!</v>
      </c>
      <c r="D68" s="763" t="e">
        <f>ROUND((#REF!+#REF!),2)</f>
        <v>#REF!</v>
      </c>
      <c r="E68" s="761" t="s">
        <v>2435</v>
      </c>
      <c r="F68" s="761" t="s">
        <v>2400</v>
      </c>
      <c r="G68" s="764" t="b">
        <f t="shared" si="1"/>
        <v>0</v>
      </c>
    </row>
    <row r="69" spans="1:7" ht="11.25" customHeight="1">
      <c r="A69" s="761" t="s">
        <v>2461</v>
      </c>
      <c r="B69" s="762" t="b">
        <f>AND('Список листов'!$B$43,'Список листов'!$B$40)</f>
        <v>1</v>
      </c>
      <c r="C69" s="763" t="e">
        <f>ROUND(#REF!,2)</f>
        <v>#REF!</v>
      </c>
      <c r="D69" s="763" t="e">
        <f>ROUND((#REF!+#REF!),2)</f>
        <v>#REF!</v>
      </c>
      <c r="E69" s="761" t="s">
        <v>2437</v>
      </c>
      <c r="F69" s="761" t="s">
        <v>2400</v>
      </c>
      <c r="G69" s="764" t="b">
        <f t="shared" si="1"/>
        <v>0</v>
      </c>
    </row>
    <row r="70" spans="1:7" ht="11.25" customHeight="1">
      <c r="A70" s="761" t="s">
        <v>2462</v>
      </c>
      <c r="B70" s="762" t="b">
        <f>AND('Список листов'!$B$43,'Список листов'!$B$40)</f>
        <v>1</v>
      </c>
      <c r="C70" s="763" t="e">
        <f>ROUND(#REF!,2)</f>
        <v>#REF!</v>
      </c>
      <c r="D70" s="763" t="e">
        <f>ROUND(#REF!,2)</f>
        <v>#REF!</v>
      </c>
      <c r="E70" s="761" t="s">
        <v>2441</v>
      </c>
      <c r="F70" s="761" t="s">
        <v>2400</v>
      </c>
      <c r="G70" s="764" t="b">
        <f t="shared" si="1"/>
        <v>0</v>
      </c>
    </row>
    <row r="71" spans="1:7" ht="11.25" customHeight="1">
      <c r="A71" s="761" t="s">
        <v>2463</v>
      </c>
      <c r="B71" s="762" t="b">
        <f>AND('Список листов'!$B$43,'Список листов'!$B$40)</f>
        <v>1</v>
      </c>
      <c r="C71" s="763" t="e">
        <f>ROUND(#REF!,2)</f>
        <v>#REF!</v>
      </c>
      <c r="D71" s="763" t="e">
        <f>ROUND((#REF!+#REF!),2)</f>
        <v>#REF!</v>
      </c>
      <c r="E71" s="761" t="s">
        <v>2443</v>
      </c>
      <c r="F71" s="761" t="s">
        <v>2400</v>
      </c>
      <c r="G71" s="764" t="b">
        <f t="shared" si="1"/>
        <v>0</v>
      </c>
    </row>
    <row r="72" spans="1:7" ht="11.25" customHeight="1">
      <c r="A72" s="761" t="s">
        <v>2464</v>
      </c>
      <c r="B72" s="762" t="b">
        <f>AND('Список листов'!$B$43,'Список листов'!$B$40)</f>
        <v>1</v>
      </c>
      <c r="C72" s="763" t="e">
        <f>ROUND(#REF!,2)</f>
        <v>#REF!</v>
      </c>
      <c r="D72" s="763" t="e">
        <f>ROUND((#REF!+#REF!),2)</f>
        <v>#REF!</v>
      </c>
      <c r="E72" s="761" t="s">
        <v>2445</v>
      </c>
      <c r="F72" s="761" t="s">
        <v>2400</v>
      </c>
      <c r="G72" s="764" t="b">
        <f t="shared" si="1"/>
        <v>0</v>
      </c>
    </row>
    <row r="73" spans="1:7" ht="11.25" customHeight="1">
      <c r="A73" s="761" t="s">
        <v>2465</v>
      </c>
      <c r="B73" s="762" t="b">
        <f>AND('Список листов'!$B$43,'Список листов'!$B$40)</f>
        <v>1</v>
      </c>
      <c r="C73" s="763" t="e">
        <f>ROUND(#REF!,2)</f>
        <v>#REF!</v>
      </c>
      <c r="D73" s="763" t="e">
        <f>ROUND((#REF!+#REF!),2)</f>
        <v>#REF!</v>
      </c>
      <c r="E73" s="761" t="s">
        <v>2447</v>
      </c>
      <c r="F73" s="761" t="s">
        <v>2400</v>
      </c>
      <c r="G73" s="764" t="b">
        <f t="shared" si="1"/>
        <v>0</v>
      </c>
    </row>
    <row r="74" spans="1:7" ht="11.25" customHeight="1">
      <c r="A74" s="761" t="s">
        <v>2466</v>
      </c>
      <c r="B74" s="762" t="b">
        <f>AND('Список листов'!$B$43,'Список листов'!$B$40)</f>
        <v>1</v>
      </c>
      <c r="C74" s="763" t="e">
        <f>ROUND(#REF!,2)</f>
        <v>#REF!</v>
      </c>
      <c r="D74" s="763" t="e">
        <f>ROUND(#REF!,2)</f>
        <v>#REF!</v>
      </c>
      <c r="E74" s="761" t="s">
        <v>2451</v>
      </c>
      <c r="F74" s="761" t="s">
        <v>2400</v>
      </c>
      <c r="G74" s="764" t="b">
        <f t="shared" si="1"/>
        <v>0</v>
      </c>
    </row>
    <row r="75" spans="1:7" ht="11.25" customHeight="1">
      <c r="A75" s="761" t="s">
        <v>2467</v>
      </c>
      <c r="B75" s="762" t="b">
        <f>AND('Список листов'!$B$43,'Список листов'!$B$40)</f>
        <v>1</v>
      </c>
      <c r="C75" s="763" t="e">
        <f>ROUND(#REF!,2)</f>
        <v>#REF!</v>
      </c>
      <c r="D75" s="763" t="e">
        <f>ROUND((#REF!+#REF!),2)</f>
        <v>#REF!</v>
      </c>
      <c r="E75" s="761" t="s">
        <v>2453</v>
      </c>
      <c r="F75" s="761" t="s">
        <v>2400</v>
      </c>
      <c r="G75" s="764" t="b">
        <f t="shared" si="1"/>
        <v>0</v>
      </c>
    </row>
    <row r="76" spans="1:7" ht="11.25" customHeight="1">
      <c r="A76" s="761" t="s">
        <v>2468</v>
      </c>
      <c r="B76" s="762" t="b">
        <f>AND('Список листов'!$B$43,'Список листов'!$B$40)</f>
        <v>1</v>
      </c>
      <c r="C76" s="763" t="e">
        <f>ROUND(#REF!,2)</f>
        <v>#REF!</v>
      </c>
      <c r="D76" s="763" t="e">
        <f>ROUND((#REF!+#REF!),2)</f>
        <v>#REF!</v>
      </c>
      <c r="E76" s="761" t="s">
        <v>2455</v>
      </c>
      <c r="F76" s="761" t="s">
        <v>2400</v>
      </c>
      <c r="G76" s="764" t="b">
        <f t="shared" si="1"/>
        <v>0</v>
      </c>
    </row>
    <row r="77" spans="1:7" ht="11.25" customHeight="1">
      <c r="A77" s="761" t="s">
        <v>2469</v>
      </c>
      <c r="B77" s="762" t="b">
        <f>AND('Список листов'!$B$43,'Список листов'!$B$40)</f>
        <v>1</v>
      </c>
      <c r="C77" s="763" t="e">
        <f>ROUND(#REF!,2)</f>
        <v>#REF!</v>
      </c>
      <c r="D77" s="763" t="e">
        <f>ROUND((#REF!+#REF!),2)</f>
        <v>#REF!</v>
      </c>
      <c r="E77" s="761" t="s">
        <v>2457</v>
      </c>
      <c r="F77" s="761" t="s">
        <v>2400</v>
      </c>
      <c r="G77" s="764" t="b">
        <f t="shared" si="1"/>
        <v>0</v>
      </c>
    </row>
    <row r="78" spans="1:7" ht="11.25" customHeight="1">
      <c r="A78" s="761" t="s">
        <v>2470</v>
      </c>
      <c r="B78" s="762" t="b">
        <f>AND('Список листов'!$B$43,'Список листов'!$B$40)</f>
        <v>1</v>
      </c>
      <c r="C78" s="763" t="e">
        <f>ROUND(#REF!,2)</f>
        <v>#REF!</v>
      </c>
      <c r="D78" s="763" t="e">
        <f>ROUND(#REF!,2)</f>
        <v>#REF!</v>
      </c>
      <c r="E78" s="761" t="s">
        <v>2431</v>
      </c>
      <c r="F78" s="761" t="s">
        <v>2400</v>
      </c>
      <c r="G78" s="764" t="b">
        <f t="shared" si="1"/>
        <v>0</v>
      </c>
    </row>
    <row r="79" spans="1:7" ht="11.25" customHeight="1">
      <c r="A79" s="761" t="s">
        <v>2471</v>
      </c>
      <c r="B79" s="762" t="b">
        <f>AND('Список листов'!$B$43,'Список листов'!$B$40)</f>
        <v>1</v>
      </c>
      <c r="C79" s="763" t="e">
        <f>ROUND(#REF!,2)</f>
        <v>#REF!</v>
      </c>
      <c r="D79" s="763" t="e">
        <f>ROUND((#REF!+#REF!),2)</f>
        <v>#REF!</v>
      </c>
      <c r="E79" s="761" t="s">
        <v>2433</v>
      </c>
      <c r="F79" s="761" t="s">
        <v>2400</v>
      </c>
      <c r="G79" s="764" t="b">
        <f t="shared" si="1"/>
        <v>0</v>
      </c>
    </row>
    <row r="80" spans="1:7" ht="11.25" customHeight="1">
      <c r="A80" s="761" t="s">
        <v>2472</v>
      </c>
      <c r="B80" s="762" t="b">
        <f>AND('Список листов'!$B$43,'Список листов'!$B$40)</f>
        <v>1</v>
      </c>
      <c r="C80" s="763" t="e">
        <f>ROUND(#REF!,2)</f>
        <v>#REF!</v>
      </c>
      <c r="D80" s="763" t="e">
        <f>ROUND((#REF!+#REF!),2)</f>
        <v>#REF!</v>
      </c>
      <c r="E80" s="761" t="s">
        <v>2435</v>
      </c>
      <c r="F80" s="761" t="s">
        <v>2400</v>
      </c>
      <c r="G80" s="764" t="b">
        <f t="shared" si="1"/>
        <v>0</v>
      </c>
    </row>
    <row r="81" spans="1:7" ht="11.25" customHeight="1">
      <c r="A81" s="761" t="s">
        <v>2473</v>
      </c>
      <c r="B81" s="762" t="b">
        <f>AND('Список листов'!$B$43,'Список листов'!$B$40)</f>
        <v>1</v>
      </c>
      <c r="C81" s="763" t="e">
        <f>ROUND(#REF!,2)</f>
        <v>#REF!</v>
      </c>
      <c r="D81" s="763" t="e">
        <f>ROUND((#REF!+#REF!),2)</f>
        <v>#REF!</v>
      </c>
      <c r="E81" s="761" t="s">
        <v>2437</v>
      </c>
      <c r="F81" s="761" t="s">
        <v>2400</v>
      </c>
      <c r="G81" s="764" t="b">
        <f t="shared" si="1"/>
        <v>0</v>
      </c>
    </row>
    <row r="82" spans="1:7" ht="11.25" customHeight="1">
      <c r="A82" s="761" t="s">
        <v>2474</v>
      </c>
      <c r="B82" s="762" t="b">
        <f>AND('Список листов'!$B$43,'Список листов'!$B$40)</f>
        <v>1</v>
      </c>
      <c r="C82" s="763" t="e">
        <f>ROUND(#REF!,2)</f>
        <v>#REF!</v>
      </c>
      <c r="D82" s="763" t="e">
        <f>ROUND(#REF!,2)</f>
        <v>#REF!</v>
      </c>
      <c r="E82" s="761" t="s">
        <v>2441</v>
      </c>
      <c r="F82" s="761" t="s">
        <v>2400</v>
      </c>
      <c r="G82" s="764" t="b">
        <f t="shared" si="1"/>
        <v>0</v>
      </c>
    </row>
    <row r="83" spans="1:7" ht="11.25" customHeight="1">
      <c r="A83" s="761" t="s">
        <v>2475</v>
      </c>
      <c r="B83" s="762" t="b">
        <f>AND('Список листов'!$B$43,'Список листов'!$B$40)</f>
        <v>1</v>
      </c>
      <c r="C83" s="763" t="e">
        <f>ROUND(#REF!,2)</f>
        <v>#REF!</v>
      </c>
      <c r="D83" s="763" t="e">
        <f>ROUND((#REF!+#REF!),2)</f>
        <v>#REF!</v>
      </c>
      <c r="E83" s="761" t="s">
        <v>2443</v>
      </c>
      <c r="F83" s="761" t="s">
        <v>2400</v>
      </c>
      <c r="G83" s="764" t="b">
        <f t="shared" ref="G83:G114" si="2">IFERROR(C83=D83,FALSE)</f>
        <v>0</v>
      </c>
    </row>
    <row r="84" spans="1:7" ht="11.25" customHeight="1">
      <c r="A84" s="761" t="s">
        <v>2476</v>
      </c>
      <c r="B84" s="762" t="b">
        <f>AND('Список листов'!$B$43,'Список листов'!$B$40)</f>
        <v>1</v>
      </c>
      <c r="C84" s="763" t="e">
        <f>ROUND(#REF!,2)</f>
        <v>#REF!</v>
      </c>
      <c r="D84" s="763" t="e">
        <f>ROUND((#REF!+#REF!),2)</f>
        <v>#REF!</v>
      </c>
      <c r="E84" s="761" t="s">
        <v>2445</v>
      </c>
      <c r="F84" s="761" t="s">
        <v>2400</v>
      </c>
      <c r="G84" s="764" t="b">
        <f t="shared" si="2"/>
        <v>0</v>
      </c>
    </row>
    <row r="85" spans="1:7" ht="11.25" customHeight="1">
      <c r="A85" s="761" t="s">
        <v>2477</v>
      </c>
      <c r="B85" s="762" t="b">
        <f>AND('Список листов'!$B$43,'Список листов'!$B$40)</f>
        <v>1</v>
      </c>
      <c r="C85" s="763" t="e">
        <f>ROUND(#REF!,2)</f>
        <v>#REF!</v>
      </c>
      <c r="D85" s="763" t="e">
        <f>ROUND((#REF!+#REF!),2)</f>
        <v>#REF!</v>
      </c>
      <c r="E85" s="761" t="s">
        <v>2447</v>
      </c>
      <c r="F85" s="761" t="s">
        <v>2400</v>
      </c>
      <c r="G85" s="764" t="b">
        <f t="shared" si="2"/>
        <v>0</v>
      </c>
    </row>
    <row r="86" spans="1:7" ht="11.25" customHeight="1">
      <c r="A86" s="761" t="s">
        <v>2478</v>
      </c>
      <c r="B86" s="762" t="b">
        <f>AND('Список листов'!$B$43,'Список листов'!$B$40)</f>
        <v>1</v>
      </c>
      <c r="C86" s="763" t="e">
        <f>ROUND(#REF!,2)</f>
        <v>#REF!</v>
      </c>
      <c r="D86" s="763" t="e">
        <f>ROUND(#REF!,2)</f>
        <v>#REF!</v>
      </c>
      <c r="E86" s="761" t="s">
        <v>2451</v>
      </c>
      <c r="F86" s="761" t="s">
        <v>2400</v>
      </c>
      <c r="G86" s="764" t="b">
        <f t="shared" si="2"/>
        <v>0</v>
      </c>
    </row>
    <row r="87" spans="1:7" ht="11.25" customHeight="1">
      <c r="A87" s="761" t="s">
        <v>2479</v>
      </c>
      <c r="B87" s="762" t="b">
        <f>AND('Список листов'!$B$43,'Список листов'!$B$40)</f>
        <v>1</v>
      </c>
      <c r="C87" s="763" t="e">
        <f>ROUND(#REF!,2)</f>
        <v>#REF!</v>
      </c>
      <c r="D87" s="763" t="e">
        <f>ROUND((#REF!+#REF!),2)</f>
        <v>#REF!</v>
      </c>
      <c r="E87" s="761" t="s">
        <v>2453</v>
      </c>
      <c r="F87" s="761" t="s">
        <v>2400</v>
      </c>
      <c r="G87" s="764" t="b">
        <f t="shared" si="2"/>
        <v>0</v>
      </c>
    </row>
    <row r="88" spans="1:7" ht="11.25" customHeight="1">
      <c r="A88" s="761" t="s">
        <v>2480</v>
      </c>
      <c r="B88" s="762" t="b">
        <f>AND('Список листов'!$B$43,'Список листов'!$B$40)</f>
        <v>1</v>
      </c>
      <c r="C88" s="763" t="e">
        <f>ROUND(#REF!,2)</f>
        <v>#REF!</v>
      </c>
      <c r="D88" s="763" t="e">
        <f>ROUND((#REF!+#REF!),2)</f>
        <v>#REF!</v>
      </c>
      <c r="E88" s="761" t="s">
        <v>2455</v>
      </c>
      <c r="F88" s="761" t="s">
        <v>2400</v>
      </c>
      <c r="G88" s="764" t="b">
        <f t="shared" si="2"/>
        <v>0</v>
      </c>
    </row>
    <row r="89" spans="1:7" ht="11.25" customHeight="1">
      <c r="A89" s="761" t="s">
        <v>2481</v>
      </c>
      <c r="B89" s="762" t="b">
        <f>AND('Список листов'!$B$43,'Список листов'!$B$40)</f>
        <v>1</v>
      </c>
      <c r="C89" s="763" t="e">
        <f>ROUND(#REF!,2)</f>
        <v>#REF!</v>
      </c>
      <c r="D89" s="763" t="e">
        <f>ROUND((#REF!+#REF!),2)</f>
        <v>#REF!</v>
      </c>
      <c r="E89" s="761" t="s">
        <v>2457</v>
      </c>
      <c r="F89" s="761" t="s">
        <v>2400</v>
      </c>
      <c r="G89" s="764" t="b">
        <f t="shared" si="2"/>
        <v>0</v>
      </c>
    </row>
    <row r="90" spans="1:7" ht="11.25" customHeight="1">
      <c r="A90" s="761" t="s">
        <v>2482</v>
      </c>
      <c r="B90" s="762" t="b">
        <f>AND('Список листов'!$B$43,'Список листов'!$B$40)</f>
        <v>1</v>
      </c>
      <c r="C90" s="763" t="e">
        <f>ROUND(#REF!,2)</f>
        <v>#REF!</v>
      </c>
      <c r="D90" s="763" t="e">
        <f>ROUND(#REF!,2)</f>
        <v>#REF!</v>
      </c>
      <c r="E90" s="761" t="s">
        <v>2429</v>
      </c>
      <c r="F90" s="761" t="s">
        <v>2400</v>
      </c>
      <c r="G90" s="764" t="b">
        <f t="shared" si="2"/>
        <v>0</v>
      </c>
    </row>
    <row r="91" spans="1:7" ht="11.25" customHeight="1">
      <c r="A91" s="761" t="s">
        <v>2483</v>
      </c>
      <c r="B91" s="762" t="b">
        <f>AND('Список листов'!$B$43,'Список листов'!$B$40)</f>
        <v>1</v>
      </c>
      <c r="C91" s="763" t="e">
        <f>ROUND(#REF!,2)</f>
        <v>#REF!</v>
      </c>
      <c r="D91" s="763" t="e">
        <f>ROUND(#REF!,2)</f>
        <v>#REF!</v>
      </c>
      <c r="E91" s="761" t="s">
        <v>2431</v>
      </c>
      <c r="F91" s="761" t="s">
        <v>2400</v>
      </c>
      <c r="G91" s="764" t="b">
        <f t="shared" si="2"/>
        <v>0</v>
      </c>
    </row>
    <row r="92" spans="1:7" ht="11.25" customHeight="1">
      <c r="A92" s="761" t="s">
        <v>2484</v>
      </c>
      <c r="B92" s="762" t="b">
        <f>AND('Список листов'!$B$43,'Список листов'!$B$40)</f>
        <v>1</v>
      </c>
      <c r="C92" s="763" t="e">
        <f>ROUND(#REF!,2)</f>
        <v>#REF!</v>
      </c>
      <c r="D92" s="763" t="e">
        <f>ROUND((#REF!+#REF!),2)</f>
        <v>#REF!</v>
      </c>
      <c r="E92" s="761" t="s">
        <v>2433</v>
      </c>
      <c r="F92" s="761" t="s">
        <v>2400</v>
      </c>
      <c r="G92" s="764" t="b">
        <f t="shared" si="2"/>
        <v>0</v>
      </c>
    </row>
    <row r="93" spans="1:7" ht="11.25" customHeight="1">
      <c r="A93" s="761" t="s">
        <v>2485</v>
      </c>
      <c r="B93" s="762" t="b">
        <f>AND('Список листов'!$B$43,'Список листов'!$B$40)</f>
        <v>1</v>
      </c>
      <c r="C93" s="763" t="e">
        <f>ROUND(#REF!,2)</f>
        <v>#REF!</v>
      </c>
      <c r="D93" s="763" t="e">
        <f>ROUND((#REF!+#REF!),2)</f>
        <v>#REF!</v>
      </c>
      <c r="E93" s="761" t="s">
        <v>2435</v>
      </c>
      <c r="F93" s="761" t="s">
        <v>2400</v>
      </c>
      <c r="G93" s="764" t="b">
        <f t="shared" si="2"/>
        <v>0</v>
      </c>
    </row>
    <row r="94" spans="1:7" ht="11.25" customHeight="1">
      <c r="A94" s="761" t="s">
        <v>2486</v>
      </c>
      <c r="B94" s="762" t="b">
        <f>AND('Список листов'!$B$43,'Список листов'!$B$40)</f>
        <v>1</v>
      </c>
      <c r="C94" s="763" t="e">
        <f>ROUND(#REF!,2)</f>
        <v>#REF!</v>
      </c>
      <c r="D94" s="763" t="e">
        <f>ROUND((#REF!+#REF!),2)</f>
        <v>#REF!</v>
      </c>
      <c r="E94" s="761" t="s">
        <v>2437</v>
      </c>
      <c r="F94" s="761" t="s">
        <v>2400</v>
      </c>
      <c r="G94" s="764" t="b">
        <f t="shared" si="2"/>
        <v>0</v>
      </c>
    </row>
    <row r="95" spans="1:7" ht="11.25" customHeight="1">
      <c r="A95" s="761" t="s">
        <v>2487</v>
      </c>
      <c r="B95" s="762" t="b">
        <f>AND('Список листов'!$B$43,'Список листов'!$B$40)</f>
        <v>1</v>
      </c>
      <c r="C95" s="763" t="e">
        <f>ROUND(#REF!,2)</f>
        <v>#REF!</v>
      </c>
      <c r="D95" s="763" t="e">
        <f>ROUND(#REF!,2)</f>
        <v>#REF!</v>
      </c>
      <c r="E95" s="761" t="s">
        <v>2439</v>
      </c>
      <c r="F95" s="761" t="s">
        <v>2400</v>
      </c>
      <c r="G95" s="764" t="b">
        <f t="shared" si="2"/>
        <v>0</v>
      </c>
    </row>
    <row r="96" spans="1:7" ht="11.25" customHeight="1">
      <c r="A96" s="761" t="s">
        <v>2488</v>
      </c>
      <c r="B96" s="762" t="b">
        <f>AND('Список листов'!$B$43,'Список листов'!$B$40)</f>
        <v>1</v>
      </c>
      <c r="C96" s="763" t="e">
        <f>ROUND(#REF!,2)</f>
        <v>#REF!</v>
      </c>
      <c r="D96" s="763" t="e">
        <f>ROUND(#REF!,2)</f>
        <v>#REF!</v>
      </c>
      <c r="E96" s="761" t="s">
        <v>2441</v>
      </c>
      <c r="F96" s="761" t="s">
        <v>2400</v>
      </c>
      <c r="G96" s="764" t="b">
        <f t="shared" si="2"/>
        <v>0</v>
      </c>
    </row>
    <row r="97" spans="1:7" ht="11.25" customHeight="1">
      <c r="A97" s="761" t="s">
        <v>2489</v>
      </c>
      <c r="B97" s="762" t="b">
        <f>AND('Список листов'!$B$43,'Список листов'!$B$40)</f>
        <v>1</v>
      </c>
      <c r="C97" s="763" t="e">
        <f>ROUND(#REF!,2)</f>
        <v>#REF!</v>
      </c>
      <c r="D97" s="763" t="e">
        <f>ROUND((#REF!+#REF!),2)</f>
        <v>#REF!</v>
      </c>
      <c r="E97" s="761" t="s">
        <v>2443</v>
      </c>
      <c r="F97" s="761" t="s">
        <v>2400</v>
      </c>
      <c r="G97" s="764" t="b">
        <f t="shared" si="2"/>
        <v>0</v>
      </c>
    </row>
    <row r="98" spans="1:7" ht="11.25" customHeight="1">
      <c r="A98" s="761" t="s">
        <v>2490</v>
      </c>
      <c r="B98" s="762" t="b">
        <f>AND('Список листов'!$B$43,'Список листов'!$B$40)</f>
        <v>1</v>
      </c>
      <c r="C98" s="763" t="e">
        <f>ROUND(#REF!,2)</f>
        <v>#REF!</v>
      </c>
      <c r="D98" s="763" t="e">
        <f>ROUND((#REF!+#REF!),2)</f>
        <v>#REF!</v>
      </c>
      <c r="E98" s="761" t="s">
        <v>2445</v>
      </c>
      <c r="F98" s="761" t="s">
        <v>2400</v>
      </c>
      <c r="G98" s="764" t="b">
        <f t="shared" si="2"/>
        <v>0</v>
      </c>
    </row>
    <row r="99" spans="1:7" ht="11.25" customHeight="1">
      <c r="A99" s="761" t="s">
        <v>2491</v>
      </c>
      <c r="B99" s="762" t="b">
        <f>AND('Список листов'!$B$43,'Список листов'!$B$40)</f>
        <v>1</v>
      </c>
      <c r="C99" s="763" t="e">
        <f>ROUND(#REF!,2)</f>
        <v>#REF!</v>
      </c>
      <c r="D99" s="763" t="e">
        <f>ROUND((#REF!+#REF!),2)</f>
        <v>#REF!</v>
      </c>
      <c r="E99" s="761" t="s">
        <v>2447</v>
      </c>
      <c r="F99" s="761" t="s">
        <v>2400</v>
      </c>
      <c r="G99" s="764" t="b">
        <f t="shared" si="2"/>
        <v>0</v>
      </c>
    </row>
    <row r="100" spans="1:7" ht="11.25" customHeight="1">
      <c r="A100" s="761" t="s">
        <v>2492</v>
      </c>
      <c r="B100" s="762" t="b">
        <f>AND('Список листов'!$B$43,'Список листов'!$B$40)</f>
        <v>1</v>
      </c>
      <c r="C100" s="763" t="e">
        <f>ROUND(#REF!,2)</f>
        <v>#REF!</v>
      </c>
      <c r="D100" s="763" t="e">
        <f>ROUND(#REF!,2)</f>
        <v>#REF!</v>
      </c>
      <c r="E100" s="761" t="s">
        <v>2449</v>
      </c>
      <c r="F100" s="761" t="s">
        <v>2400</v>
      </c>
      <c r="G100" s="764" t="b">
        <f t="shared" si="2"/>
        <v>0</v>
      </c>
    </row>
    <row r="101" spans="1:7" ht="11.25" customHeight="1">
      <c r="A101" s="761" t="s">
        <v>2493</v>
      </c>
      <c r="B101" s="762" t="b">
        <f>AND('Список листов'!$B$43,'Список листов'!$B$40)</f>
        <v>1</v>
      </c>
      <c r="C101" s="763" t="e">
        <f>ROUND(#REF!,2)</f>
        <v>#REF!</v>
      </c>
      <c r="D101" s="763" t="e">
        <f>ROUND(#REF!,2)</f>
        <v>#REF!</v>
      </c>
      <c r="E101" s="761" t="s">
        <v>2451</v>
      </c>
      <c r="F101" s="761" t="s">
        <v>2400</v>
      </c>
      <c r="G101" s="764" t="b">
        <f t="shared" si="2"/>
        <v>0</v>
      </c>
    </row>
    <row r="102" spans="1:7" ht="11.25" customHeight="1">
      <c r="A102" s="761" t="s">
        <v>2494</v>
      </c>
      <c r="B102" s="762" t="b">
        <f>AND('Список листов'!$B$43,'Список листов'!$B$40)</f>
        <v>1</v>
      </c>
      <c r="C102" s="763" t="e">
        <f>ROUND(#REF!,2)</f>
        <v>#REF!</v>
      </c>
      <c r="D102" s="763" t="e">
        <f>ROUND((#REF!+#REF!),2)</f>
        <v>#REF!</v>
      </c>
      <c r="E102" s="761" t="s">
        <v>2453</v>
      </c>
      <c r="F102" s="761" t="s">
        <v>2400</v>
      </c>
      <c r="G102" s="764" t="b">
        <f t="shared" si="2"/>
        <v>0</v>
      </c>
    </row>
    <row r="103" spans="1:7" ht="11.25" customHeight="1">
      <c r="A103" s="761" t="s">
        <v>2495</v>
      </c>
      <c r="B103" s="762" t="b">
        <f>AND('Список листов'!$B$43,'Список листов'!$B$40)</f>
        <v>1</v>
      </c>
      <c r="C103" s="763" t="e">
        <f>ROUND(#REF!,2)</f>
        <v>#REF!</v>
      </c>
      <c r="D103" s="763" t="e">
        <f>ROUND((#REF!+#REF!),2)</f>
        <v>#REF!</v>
      </c>
      <c r="E103" s="761" t="s">
        <v>2455</v>
      </c>
      <c r="F103" s="761" t="s">
        <v>2400</v>
      </c>
      <c r="G103" s="764" t="b">
        <f t="shared" si="2"/>
        <v>0</v>
      </c>
    </row>
    <row r="104" spans="1:7" ht="11.25" customHeight="1">
      <c r="A104" s="761" t="s">
        <v>2496</v>
      </c>
      <c r="B104" s="762" t="b">
        <f>AND('Список листов'!$B$43,'Список листов'!$B$40)</f>
        <v>1</v>
      </c>
      <c r="C104" s="763" t="e">
        <f>ROUND(#REF!,2)</f>
        <v>#REF!</v>
      </c>
      <c r="D104" s="763" t="e">
        <f>ROUND((#REF!+#REF!),2)</f>
        <v>#REF!</v>
      </c>
      <c r="E104" s="761" t="s">
        <v>2457</v>
      </c>
      <c r="F104" s="761" t="s">
        <v>2400</v>
      </c>
      <c r="G104" s="764" t="b">
        <f t="shared" si="2"/>
        <v>0</v>
      </c>
    </row>
    <row r="105" spans="1:7" ht="11.25" customHeight="1">
      <c r="A105" s="761" t="s">
        <v>2497</v>
      </c>
      <c r="B105" s="762" t="b">
        <f>AND('Список листов'!$B$43,'Список листов'!$B$40)</f>
        <v>1</v>
      </c>
      <c r="C105" s="763" t="e">
        <f>ROUND(#REF!,2)</f>
        <v>#REF!</v>
      </c>
      <c r="D105" s="763" t="e">
        <f>ROUND(#REF!,2)</f>
        <v>#REF!</v>
      </c>
      <c r="E105" s="761" t="s">
        <v>2498</v>
      </c>
      <c r="F105" s="761" t="s">
        <v>2400</v>
      </c>
      <c r="G105" s="764" t="b">
        <f t="shared" si="2"/>
        <v>0</v>
      </c>
    </row>
    <row r="106" spans="1:7" ht="11.25" customHeight="1">
      <c r="A106" s="761" t="s">
        <v>2499</v>
      </c>
      <c r="B106" s="762" t="b">
        <f>AND('Список листов'!$B$43,'Список листов'!$B$40)</f>
        <v>1</v>
      </c>
      <c r="C106" s="763" t="e">
        <f>ROUND(#REF!,2)</f>
        <v>#REF!</v>
      </c>
      <c r="D106" s="763" t="e">
        <f>ROUND(#REF!,2)</f>
        <v>#REF!</v>
      </c>
      <c r="E106" s="761" t="s">
        <v>2500</v>
      </c>
      <c r="F106" s="761" t="s">
        <v>2400</v>
      </c>
      <c r="G106" s="764" t="b">
        <f t="shared" si="2"/>
        <v>0</v>
      </c>
    </row>
    <row r="107" spans="1:7" ht="11.25" customHeight="1">
      <c r="A107" s="761" t="s">
        <v>2501</v>
      </c>
      <c r="B107" s="762" t="b">
        <f>AND('Список листов'!$B$43,'Список листов'!$B$40)</f>
        <v>1</v>
      </c>
      <c r="C107" s="763" t="e">
        <f>ROUND(#REF!,2)</f>
        <v>#REF!</v>
      </c>
      <c r="D107" s="763" t="e">
        <f>ROUND(#REF!,2)</f>
        <v>#REF!</v>
      </c>
      <c r="E107" s="761" t="s">
        <v>2502</v>
      </c>
      <c r="F107" s="761" t="s">
        <v>2400</v>
      </c>
      <c r="G107" s="764" t="b">
        <f t="shared" si="2"/>
        <v>0</v>
      </c>
    </row>
    <row r="108" spans="1:7" ht="11.25" customHeight="1">
      <c r="A108" s="761" t="s">
        <v>2503</v>
      </c>
      <c r="B108" s="762" t="b">
        <f>AND('Список листов'!$B$43,'Список листов'!$B$40)</f>
        <v>1</v>
      </c>
      <c r="C108" s="763" t="e">
        <f>ROUND(#REF!,2)</f>
        <v>#REF!</v>
      </c>
      <c r="D108" s="763" t="e">
        <f>ROUND(#REF!,2)</f>
        <v>#REF!</v>
      </c>
      <c r="E108" s="761" t="s">
        <v>2504</v>
      </c>
      <c r="F108" s="761" t="s">
        <v>2400</v>
      </c>
      <c r="G108" s="764" t="b">
        <f t="shared" si="2"/>
        <v>0</v>
      </c>
    </row>
    <row r="109" spans="1:7" ht="11.25" customHeight="1">
      <c r="A109" s="761" t="s">
        <v>2505</v>
      </c>
      <c r="B109" s="762" t="b">
        <f>AND('Список листов'!$B$43,'Список листов'!$B$40)</f>
        <v>1</v>
      </c>
      <c r="C109" s="763" t="e">
        <f>ROUND(#REF!,2)</f>
        <v>#REF!</v>
      </c>
      <c r="D109" s="763" t="e">
        <f>ROUND(#REF!,2)</f>
        <v>#REF!</v>
      </c>
      <c r="E109" s="761" t="s">
        <v>2506</v>
      </c>
      <c r="F109" s="761" t="s">
        <v>2400</v>
      </c>
      <c r="G109" s="764" t="b">
        <f t="shared" si="2"/>
        <v>0</v>
      </c>
    </row>
    <row r="110" spans="1:7" ht="11.25" customHeight="1">
      <c r="A110" s="761" t="s">
        <v>2507</v>
      </c>
      <c r="B110" s="762" t="b">
        <f>AND('Список листов'!$B$43,'Список листов'!$B$40)</f>
        <v>1</v>
      </c>
      <c r="C110" s="763" t="e">
        <f>ROUND(#REF!,2)</f>
        <v>#REF!</v>
      </c>
      <c r="D110" s="763" t="e">
        <f>ROUND(#REF!,2)</f>
        <v>#REF!</v>
      </c>
      <c r="E110" s="761" t="s">
        <v>2508</v>
      </c>
      <c r="F110" s="761" t="s">
        <v>2400</v>
      </c>
      <c r="G110" s="764" t="b">
        <f t="shared" si="2"/>
        <v>0</v>
      </c>
    </row>
    <row r="111" spans="1:7" ht="11.25" customHeight="1">
      <c r="A111" s="761" t="s">
        <v>2509</v>
      </c>
      <c r="B111" s="762" t="b">
        <f>AND('Список листов'!$B$43,'Список листов'!$B$40)</f>
        <v>1</v>
      </c>
      <c r="C111" s="763" t="e">
        <f>ROUND(#REF!,2)</f>
        <v>#REF!</v>
      </c>
      <c r="D111" s="763" t="e">
        <f>ROUND(#REF!,2)</f>
        <v>#REF!</v>
      </c>
      <c r="E111" s="761" t="s">
        <v>2510</v>
      </c>
      <c r="F111" s="761" t="s">
        <v>2400</v>
      </c>
      <c r="G111" s="764" t="b">
        <f t="shared" si="2"/>
        <v>0</v>
      </c>
    </row>
    <row r="112" spans="1:7" ht="11.25" customHeight="1">
      <c r="A112" s="761" t="s">
        <v>2511</v>
      </c>
      <c r="B112" s="762" t="b">
        <f>AND('Список листов'!$B$43,'Список листов'!$B$40)</f>
        <v>1</v>
      </c>
      <c r="C112" s="763" t="e">
        <f>ROUND(#REF!,2)</f>
        <v>#REF!</v>
      </c>
      <c r="D112" s="763" t="e">
        <f>ROUND(#REF!,2)</f>
        <v>#REF!</v>
      </c>
      <c r="E112" s="761" t="s">
        <v>2512</v>
      </c>
      <c r="F112" s="761" t="s">
        <v>2400</v>
      </c>
      <c r="G112" s="764" t="b">
        <f t="shared" si="2"/>
        <v>0</v>
      </c>
    </row>
    <row r="113" spans="1:7" ht="11.25" customHeight="1">
      <c r="A113" s="761" t="s">
        <v>2513</v>
      </c>
      <c r="B113" s="762" t="b">
        <f>AND('Список листов'!$B$43,'Список листов'!$B$40)</f>
        <v>1</v>
      </c>
      <c r="C113" s="763" t="e">
        <f>ROUND(#REF!,2)</f>
        <v>#REF!</v>
      </c>
      <c r="D113" s="763" t="e">
        <f>ROUND(#REF!,2)</f>
        <v>#REF!</v>
      </c>
      <c r="E113" s="761" t="s">
        <v>2514</v>
      </c>
      <c r="F113" s="761" t="s">
        <v>2400</v>
      </c>
      <c r="G113" s="764" t="b">
        <f t="shared" si="2"/>
        <v>0</v>
      </c>
    </row>
    <row r="114" spans="1:7" ht="11.25" customHeight="1">
      <c r="A114" s="761" t="s">
        <v>2515</v>
      </c>
      <c r="B114" s="762" t="b">
        <f>AND('Список листов'!$B$43,'Список листов'!$B$40)</f>
        <v>1</v>
      </c>
      <c r="C114" s="763" t="e">
        <f>ROUND(#REF!,2)</f>
        <v>#REF!</v>
      </c>
      <c r="D114" s="763" t="e">
        <f>ROUND(#REF!,2)</f>
        <v>#REF!</v>
      </c>
      <c r="E114" s="761" t="s">
        <v>2516</v>
      </c>
      <c r="F114" s="761" t="s">
        <v>2400</v>
      </c>
      <c r="G114" s="764" t="b">
        <f t="shared" si="2"/>
        <v>0</v>
      </c>
    </row>
    <row r="115" spans="1:7" ht="11.25" customHeight="1">
      <c r="A115" s="761" t="s">
        <v>2517</v>
      </c>
      <c r="B115" s="762" t="b">
        <f>AND('Список листов'!$B$43,'Список листов'!$B$40)</f>
        <v>1</v>
      </c>
      <c r="C115" s="763" t="e">
        <f>ROUND(#REF!,2)</f>
        <v>#REF!</v>
      </c>
      <c r="D115" s="763" t="e">
        <f>ROUND(#REF!,2)</f>
        <v>#REF!</v>
      </c>
      <c r="E115" s="761" t="s">
        <v>2518</v>
      </c>
      <c r="F115" s="761" t="s">
        <v>2400</v>
      </c>
      <c r="G115" s="764" t="b">
        <f t="shared" ref="G115:G146" si="3">IFERROR(C115=D115,FALSE)</f>
        <v>0</v>
      </c>
    </row>
    <row r="116" spans="1:7" ht="11.25" customHeight="1">
      <c r="A116" s="761" t="s">
        <v>2519</v>
      </c>
      <c r="B116" s="762" t="b">
        <f>AND('Список листов'!$B$43,'Список листов'!$B$40)</f>
        <v>1</v>
      </c>
      <c r="C116" s="763" t="e">
        <f>ROUND(#REF!,2)</f>
        <v>#REF!</v>
      </c>
      <c r="D116" s="763" t="e">
        <f>ROUND(#REF!,2)</f>
        <v>#REF!</v>
      </c>
      <c r="E116" s="761" t="s">
        <v>2520</v>
      </c>
      <c r="F116" s="761" t="s">
        <v>2400</v>
      </c>
      <c r="G116" s="764" t="b">
        <f t="shared" si="3"/>
        <v>0</v>
      </c>
    </row>
    <row r="117" spans="1:7" ht="11.25" customHeight="1">
      <c r="A117" s="761" t="s">
        <v>2521</v>
      </c>
      <c r="B117" s="762" t="b">
        <f>AND('Список листов'!$B$43,'Список листов'!$B$40)</f>
        <v>1</v>
      </c>
      <c r="C117" s="763" t="e">
        <f>ROUND(#REF!,2)</f>
        <v>#REF!</v>
      </c>
      <c r="D117" s="763" t="e">
        <f>ROUND(#REF!,2)</f>
        <v>#REF!</v>
      </c>
      <c r="E117" s="761" t="s">
        <v>2522</v>
      </c>
      <c r="F117" s="761" t="s">
        <v>2400</v>
      </c>
      <c r="G117" s="764" t="b">
        <f t="shared" si="3"/>
        <v>0</v>
      </c>
    </row>
    <row r="118" spans="1:7" ht="11.25" customHeight="1">
      <c r="A118" s="761" t="s">
        <v>2523</v>
      </c>
      <c r="B118" s="762" t="b">
        <f>AND('Список листов'!$B$43,'Список листов'!$B$40)</f>
        <v>1</v>
      </c>
      <c r="C118" s="763" t="e">
        <f>ROUND(#REF!,2)</f>
        <v>#REF!</v>
      </c>
      <c r="D118" s="763" t="e">
        <f>ROUND(#REF!,2)</f>
        <v>#REF!</v>
      </c>
      <c r="E118" s="761" t="s">
        <v>2524</v>
      </c>
      <c r="F118" s="761" t="s">
        <v>2400</v>
      </c>
      <c r="G118" s="764" t="b">
        <f t="shared" si="3"/>
        <v>0</v>
      </c>
    </row>
    <row r="119" spans="1:7" ht="11.25" customHeight="1">
      <c r="A119" s="761" t="s">
        <v>2525</v>
      </c>
      <c r="B119" s="762" t="b">
        <f>AND('Список листов'!$B$43,'Список листов'!$B$40)</f>
        <v>1</v>
      </c>
      <c r="C119" s="763" t="e">
        <f>ROUND(#REF!,2)</f>
        <v>#REF!</v>
      </c>
      <c r="D119" s="763" t="e">
        <f>ROUND(#REF!,2)</f>
        <v>#REF!</v>
      </c>
      <c r="E119" s="761" t="s">
        <v>2526</v>
      </c>
      <c r="F119" s="761" t="s">
        <v>2400</v>
      </c>
      <c r="G119" s="764" t="b">
        <f t="shared" si="3"/>
        <v>0</v>
      </c>
    </row>
    <row r="120" spans="1:7" ht="11.25" customHeight="1">
      <c r="A120" s="761" t="s">
        <v>2527</v>
      </c>
      <c r="B120" s="762" t="b">
        <f>AND('Список листов'!$B$43,'Список листов'!$B$40)</f>
        <v>1</v>
      </c>
      <c r="C120" s="763" t="e">
        <f>ROUND(#REF!,2)</f>
        <v>#REF!</v>
      </c>
      <c r="D120" s="763" t="e">
        <f>ROUND(#REF!,2)</f>
        <v>#REF!</v>
      </c>
      <c r="E120" s="761" t="s">
        <v>2498</v>
      </c>
      <c r="F120" s="761" t="s">
        <v>2400</v>
      </c>
      <c r="G120" s="764" t="b">
        <f t="shared" si="3"/>
        <v>0</v>
      </c>
    </row>
    <row r="121" spans="1:7" ht="11.25" customHeight="1">
      <c r="A121" s="761" t="s">
        <v>2528</v>
      </c>
      <c r="B121" s="762" t="b">
        <f>AND('Список листов'!$B$43,'Список листов'!$B$40)</f>
        <v>1</v>
      </c>
      <c r="C121" s="763" t="e">
        <f>ROUND(#REF!,2)</f>
        <v>#REF!</v>
      </c>
      <c r="D121" s="763" t="e">
        <f>ROUND(#REF!,2)</f>
        <v>#REF!</v>
      </c>
      <c r="E121" s="761" t="s">
        <v>2500</v>
      </c>
      <c r="F121" s="761" t="s">
        <v>2400</v>
      </c>
      <c r="G121" s="764" t="b">
        <f t="shared" si="3"/>
        <v>0</v>
      </c>
    </row>
    <row r="122" spans="1:7" ht="11.25" customHeight="1">
      <c r="A122" s="761" t="s">
        <v>2529</v>
      </c>
      <c r="B122" s="762" t="b">
        <f>AND('Список листов'!$B$43,'Список листов'!$B$40)</f>
        <v>1</v>
      </c>
      <c r="C122" s="763" t="e">
        <f>ROUND(#REF!,2)</f>
        <v>#REF!</v>
      </c>
      <c r="D122" s="763" t="e">
        <f>ROUND(#REF!,2)</f>
        <v>#REF!</v>
      </c>
      <c r="E122" s="761" t="s">
        <v>2502</v>
      </c>
      <c r="F122" s="761" t="s">
        <v>2400</v>
      </c>
      <c r="G122" s="764" t="b">
        <f t="shared" si="3"/>
        <v>0</v>
      </c>
    </row>
    <row r="123" spans="1:7" ht="11.25" customHeight="1">
      <c r="A123" s="761" t="s">
        <v>2530</v>
      </c>
      <c r="B123" s="762" t="b">
        <f>AND('Список листов'!$B$43,'Список листов'!$B$40)</f>
        <v>1</v>
      </c>
      <c r="C123" s="763" t="e">
        <f>ROUND(#REF!,2)</f>
        <v>#REF!</v>
      </c>
      <c r="D123" s="763" t="e">
        <f>ROUND(#REF!,2)</f>
        <v>#REF!</v>
      </c>
      <c r="E123" s="761" t="s">
        <v>2504</v>
      </c>
      <c r="F123" s="761" t="s">
        <v>2400</v>
      </c>
      <c r="G123" s="764" t="b">
        <f t="shared" si="3"/>
        <v>0</v>
      </c>
    </row>
    <row r="124" spans="1:7" ht="11.25" customHeight="1">
      <c r="A124" s="761" t="s">
        <v>2531</v>
      </c>
      <c r="B124" s="762" t="b">
        <f>AND('Список листов'!$B$43,'Список листов'!$B$40)</f>
        <v>1</v>
      </c>
      <c r="C124" s="763" t="e">
        <f>ROUND(#REF!,2)</f>
        <v>#REF!</v>
      </c>
      <c r="D124" s="763" t="e">
        <f>ROUND(#REF!,2)</f>
        <v>#REF!</v>
      </c>
      <c r="E124" s="761" t="s">
        <v>2506</v>
      </c>
      <c r="F124" s="761" t="s">
        <v>2400</v>
      </c>
      <c r="G124" s="764" t="b">
        <f t="shared" si="3"/>
        <v>0</v>
      </c>
    </row>
    <row r="125" spans="1:7" ht="11.25" customHeight="1">
      <c r="A125" s="761" t="s">
        <v>2532</v>
      </c>
      <c r="B125" s="762" t="b">
        <f>AND('Список листов'!$B$43,'Список листов'!$B$40)</f>
        <v>1</v>
      </c>
      <c r="C125" s="763" t="e">
        <f>ROUND(#REF!,2)</f>
        <v>#REF!</v>
      </c>
      <c r="D125" s="763" t="e">
        <f>ROUND(#REF!,2)</f>
        <v>#REF!</v>
      </c>
      <c r="E125" s="761" t="s">
        <v>2508</v>
      </c>
      <c r="F125" s="761" t="s">
        <v>2400</v>
      </c>
      <c r="G125" s="764" t="b">
        <f t="shared" si="3"/>
        <v>0</v>
      </c>
    </row>
    <row r="126" spans="1:7" ht="11.25" customHeight="1">
      <c r="A126" s="761" t="s">
        <v>2533</v>
      </c>
      <c r="B126" s="762" t="b">
        <f>AND('Список листов'!$B$43,'Список листов'!$B$40)</f>
        <v>1</v>
      </c>
      <c r="C126" s="763" t="e">
        <f>ROUND(#REF!,2)</f>
        <v>#REF!</v>
      </c>
      <c r="D126" s="763" t="e">
        <f>ROUND(#REF!,2)</f>
        <v>#REF!</v>
      </c>
      <c r="E126" s="761" t="s">
        <v>2510</v>
      </c>
      <c r="F126" s="761" t="s">
        <v>2400</v>
      </c>
      <c r="G126" s="764" t="b">
        <f t="shared" si="3"/>
        <v>0</v>
      </c>
    </row>
    <row r="127" spans="1:7" ht="11.25" customHeight="1">
      <c r="A127" s="761" t="s">
        <v>2534</v>
      </c>
      <c r="B127" s="762" t="b">
        <f>AND('Список листов'!$B$43,'Список листов'!$B$40)</f>
        <v>1</v>
      </c>
      <c r="C127" s="763" t="e">
        <f>ROUND(#REF!,2)</f>
        <v>#REF!</v>
      </c>
      <c r="D127" s="763" t="e">
        <f>ROUND(#REF!,2)</f>
        <v>#REF!</v>
      </c>
      <c r="E127" s="761" t="s">
        <v>2512</v>
      </c>
      <c r="F127" s="761" t="s">
        <v>2400</v>
      </c>
      <c r="G127" s="764" t="b">
        <f t="shared" si="3"/>
        <v>0</v>
      </c>
    </row>
    <row r="128" spans="1:7" ht="11.25" customHeight="1">
      <c r="A128" s="761" t="s">
        <v>2535</v>
      </c>
      <c r="B128" s="762" t="b">
        <f>AND('Список листов'!$B$43,'Список листов'!$B$40)</f>
        <v>1</v>
      </c>
      <c r="C128" s="763" t="e">
        <f>ROUND(#REF!,2)</f>
        <v>#REF!</v>
      </c>
      <c r="D128" s="763" t="e">
        <f>ROUND(#REF!,2)</f>
        <v>#REF!</v>
      </c>
      <c r="E128" s="761" t="s">
        <v>2514</v>
      </c>
      <c r="F128" s="761" t="s">
        <v>2400</v>
      </c>
      <c r="G128" s="764" t="b">
        <f t="shared" si="3"/>
        <v>0</v>
      </c>
    </row>
    <row r="129" spans="1:7" ht="11.25" customHeight="1">
      <c r="A129" s="761" t="s">
        <v>2536</v>
      </c>
      <c r="B129" s="762" t="b">
        <f>AND('Список листов'!$B$43,'Список листов'!$B$40)</f>
        <v>1</v>
      </c>
      <c r="C129" s="763" t="e">
        <f>ROUND(#REF!,2)</f>
        <v>#REF!</v>
      </c>
      <c r="D129" s="763" t="e">
        <f>ROUND(#REF!,2)</f>
        <v>#REF!</v>
      </c>
      <c r="E129" s="761" t="s">
        <v>2516</v>
      </c>
      <c r="F129" s="761" t="s">
        <v>2400</v>
      </c>
      <c r="G129" s="764" t="b">
        <f t="shared" si="3"/>
        <v>0</v>
      </c>
    </row>
    <row r="130" spans="1:7" ht="11.25" customHeight="1">
      <c r="A130" s="761" t="s">
        <v>2537</v>
      </c>
      <c r="B130" s="762" t="b">
        <f>AND('Список листов'!$B$43,'Список листов'!$B$40)</f>
        <v>1</v>
      </c>
      <c r="C130" s="763" t="e">
        <f>ROUND(#REF!,2)</f>
        <v>#REF!</v>
      </c>
      <c r="D130" s="763" t="e">
        <f>ROUND(#REF!,2)</f>
        <v>#REF!</v>
      </c>
      <c r="E130" s="761" t="s">
        <v>2518</v>
      </c>
      <c r="F130" s="761" t="s">
        <v>2400</v>
      </c>
      <c r="G130" s="764" t="b">
        <f t="shared" si="3"/>
        <v>0</v>
      </c>
    </row>
    <row r="131" spans="1:7" ht="11.25" customHeight="1">
      <c r="A131" s="761" t="s">
        <v>2538</v>
      </c>
      <c r="B131" s="762" t="b">
        <f>AND('Список листов'!$B$43,'Список листов'!$B$40)</f>
        <v>1</v>
      </c>
      <c r="C131" s="763" t="e">
        <f>ROUND(#REF!,2)</f>
        <v>#REF!</v>
      </c>
      <c r="D131" s="763" t="e">
        <f>ROUND(#REF!,2)</f>
        <v>#REF!</v>
      </c>
      <c r="E131" s="761" t="s">
        <v>2520</v>
      </c>
      <c r="F131" s="761" t="s">
        <v>2400</v>
      </c>
      <c r="G131" s="764" t="b">
        <f t="shared" si="3"/>
        <v>0</v>
      </c>
    </row>
    <row r="132" spans="1:7" ht="11.25" customHeight="1">
      <c r="A132" s="761" t="s">
        <v>2539</v>
      </c>
      <c r="B132" s="762" t="b">
        <f>AND('Список листов'!$B$43,'Список листов'!$B$40)</f>
        <v>1</v>
      </c>
      <c r="C132" s="763" t="e">
        <f>ROUND(#REF!,2)</f>
        <v>#REF!</v>
      </c>
      <c r="D132" s="763" t="e">
        <f>ROUND(#REF!,2)</f>
        <v>#REF!</v>
      </c>
      <c r="E132" s="761" t="s">
        <v>2522</v>
      </c>
      <c r="F132" s="761" t="s">
        <v>2400</v>
      </c>
      <c r="G132" s="764" t="b">
        <f t="shared" si="3"/>
        <v>0</v>
      </c>
    </row>
    <row r="133" spans="1:7" ht="11.25" customHeight="1">
      <c r="A133" s="761" t="s">
        <v>2540</v>
      </c>
      <c r="B133" s="762" t="b">
        <f>AND('Список листов'!$B$43,'Список листов'!$B$40)</f>
        <v>1</v>
      </c>
      <c r="C133" s="763" t="e">
        <f>ROUND(#REF!,2)</f>
        <v>#REF!</v>
      </c>
      <c r="D133" s="763" t="e">
        <f>ROUND(#REF!,2)</f>
        <v>#REF!</v>
      </c>
      <c r="E133" s="761" t="s">
        <v>2524</v>
      </c>
      <c r="F133" s="761" t="s">
        <v>2400</v>
      </c>
      <c r="G133" s="764" t="b">
        <f t="shared" si="3"/>
        <v>0</v>
      </c>
    </row>
    <row r="134" spans="1:7" ht="11.25" customHeight="1">
      <c r="A134" s="761" t="s">
        <v>2541</v>
      </c>
      <c r="B134" s="762" t="b">
        <f>AND('Список листов'!$B$43,'Список листов'!$B$40)</f>
        <v>1</v>
      </c>
      <c r="C134" s="763" t="e">
        <f>ROUND(#REF!,2)</f>
        <v>#REF!</v>
      </c>
      <c r="D134" s="763" t="e">
        <f>ROUND(#REF!,2)</f>
        <v>#REF!</v>
      </c>
      <c r="E134" s="761" t="s">
        <v>2526</v>
      </c>
      <c r="F134" s="761" t="s">
        <v>2400</v>
      </c>
      <c r="G134" s="764" t="b">
        <f t="shared" si="3"/>
        <v>0</v>
      </c>
    </row>
    <row r="135" spans="1:7" ht="11.25" customHeight="1">
      <c r="A135" s="761" t="s">
        <v>2542</v>
      </c>
      <c r="B135" s="762" t="b">
        <f>AND('Список листов'!$B$43,'Список листов'!$B$40)</f>
        <v>1</v>
      </c>
      <c r="C135" s="763" t="e">
        <f>ROUND(#REF!,2)</f>
        <v>#REF!</v>
      </c>
      <c r="D135" s="763" t="e">
        <f>ROUND(#REF!,2)</f>
        <v>#REF!</v>
      </c>
      <c r="E135" s="761" t="s">
        <v>2498</v>
      </c>
      <c r="F135" s="761" t="s">
        <v>2400</v>
      </c>
      <c r="G135" s="764" t="b">
        <f t="shared" si="3"/>
        <v>0</v>
      </c>
    </row>
    <row r="136" spans="1:7" ht="11.25" customHeight="1">
      <c r="A136" s="761" t="s">
        <v>2543</v>
      </c>
      <c r="B136" s="762" t="b">
        <f>AND('Список листов'!$B$43,'Список листов'!$B$40)</f>
        <v>1</v>
      </c>
      <c r="C136" s="763" t="e">
        <f>ROUND(#REF!,2)</f>
        <v>#REF!</v>
      </c>
      <c r="D136" s="763" t="e">
        <f>ROUND(#REF!,2)</f>
        <v>#REF!</v>
      </c>
      <c r="E136" s="761" t="s">
        <v>2500</v>
      </c>
      <c r="F136" s="761" t="s">
        <v>2400</v>
      </c>
      <c r="G136" s="764" t="b">
        <f t="shared" si="3"/>
        <v>0</v>
      </c>
    </row>
    <row r="137" spans="1:7" ht="11.25" customHeight="1">
      <c r="A137" s="761" t="s">
        <v>2544</v>
      </c>
      <c r="B137" s="762" t="b">
        <f>AND('Список листов'!$B$43,'Список листов'!$B$40)</f>
        <v>1</v>
      </c>
      <c r="C137" s="763" t="e">
        <f>ROUND(#REF!,2)</f>
        <v>#REF!</v>
      </c>
      <c r="D137" s="763" t="e">
        <f>ROUND(#REF!,2)</f>
        <v>#REF!</v>
      </c>
      <c r="E137" s="761" t="s">
        <v>2502</v>
      </c>
      <c r="F137" s="761" t="s">
        <v>2400</v>
      </c>
      <c r="G137" s="764" t="b">
        <f t="shared" si="3"/>
        <v>0</v>
      </c>
    </row>
    <row r="138" spans="1:7" ht="11.25" customHeight="1">
      <c r="A138" s="761" t="s">
        <v>2545</v>
      </c>
      <c r="B138" s="762" t="b">
        <f>AND('Список листов'!$B$43,'Список листов'!$B$40)</f>
        <v>1</v>
      </c>
      <c r="C138" s="763" t="e">
        <f>ROUND(#REF!,2)</f>
        <v>#REF!</v>
      </c>
      <c r="D138" s="763" t="e">
        <f>ROUND(#REF!,2)</f>
        <v>#REF!</v>
      </c>
      <c r="E138" s="761" t="s">
        <v>2504</v>
      </c>
      <c r="F138" s="761" t="s">
        <v>2400</v>
      </c>
      <c r="G138" s="764" t="b">
        <f t="shared" si="3"/>
        <v>0</v>
      </c>
    </row>
    <row r="139" spans="1:7" ht="11.25" customHeight="1">
      <c r="A139" s="761" t="s">
        <v>2546</v>
      </c>
      <c r="B139" s="762" t="b">
        <f>AND('Список листов'!$B$43,'Список листов'!$B$40)</f>
        <v>1</v>
      </c>
      <c r="C139" s="763" t="e">
        <f>ROUND(#REF!,2)</f>
        <v>#REF!</v>
      </c>
      <c r="D139" s="763" t="e">
        <f>ROUND(#REF!,2)</f>
        <v>#REF!</v>
      </c>
      <c r="E139" s="761" t="s">
        <v>2506</v>
      </c>
      <c r="F139" s="761" t="s">
        <v>2400</v>
      </c>
      <c r="G139" s="764" t="b">
        <f t="shared" si="3"/>
        <v>0</v>
      </c>
    </row>
    <row r="140" spans="1:7" ht="11.25" customHeight="1">
      <c r="A140" s="761" t="s">
        <v>2547</v>
      </c>
      <c r="B140" s="762" t="b">
        <f>AND('Список листов'!$B$43,'Список листов'!$B$40)</f>
        <v>1</v>
      </c>
      <c r="C140" s="763" t="e">
        <f>ROUND(#REF!,2)</f>
        <v>#REF!</v>
      </c>
      <c r="D140" s="763" t="e">
        <f>ROUND(#REF!,2)</f>
        <v>#REF!</v>
      </c>
      <c r="E140" s="761" t="s">
        <v>2508</v>
      </c>
      <c r="F140" s="761" t="s">
        <v>2400</v>
      </c>
      <c r="G140" s="764" t="b">
        <f t="shared" si="3"/>
        <v>0</v>
      </c>
    </row>
    <row r="141" spans="1:7" ht="11.25" customHeight="1">
      <c r="A141" s="761" t="s">
        <v>2548</v>
      </c>
      <c r="B141" s="762" t="b">
        <f>AND('Список листов'!$B$43,'Список листов'!$B$40)</f>
        <v>1</v>
      </c>
      <c r="C141" s="763" t="e">
        <f>ROUND(#REF!,2)</f>
        <v>#REF!</v>
      </c>
      <c r="D141" s="763" t="e">
        <f>ROUND(#REF!,2)</f>
        <v>#REF!</v>
      </c>
      <c r="E141" s="761" t="s">
        <v>2510</v>
      </c>
      <c r="F141" s="761" t="s">
        <v>2400</v>
      </c>
      <c r="G141" s="764" t="b">
        <f t="shared" si="3"/>
        <v>0</v>
      </c>
    </row>
    <row r="142" spans="1:7" ht="11.25" customHeight="1">
      <c r="A142" s="761" t="s">
        <v>2549</v>
      </c>
      <c r="B142" s="762" t="b">
        <f>AND('Список листов'!$B$43,'Список листов'!$B$40)</f>
        <v>1</v>
      </c>
      <c r="C142" s="763" t="e">
        <f>ROUND(#REF!,2)</f>
        <v>#REF!</v>
      </c>
      <c r="D142" s="763" t="e">
        <f>ROUND(#REF!,2)</f>
        <v>#REF!</v>
      </c>
      <c r="E142" s="761" t="s">
        <v>2512</v>
      </c>
      <c r="F142" s="761" t="s">
        <v>2400</v>
      </c>
      <c r="G142" s="764" t="b">
        <f t="shared" si="3"/>
        <v>0</v>
      </c>
    </row>
    <row r="143" spans="1:7" ht="11.25" customHeight="1">
      <c r="A143" s="761" t="s">
        <v>2550</v>
      </c>
      <c r="B143" s="762" t="b">
        <f>AND('Список листов'!$B$43,'Список листов'!$B$40)</f>
        <v>1</v>
      </c>
      <c r="C143" s="763" t="e">
        <f>ROUND(#REF!,2)</f>
        <v>#REF!</v>
      </c>
      <c r="D143" s="763" t="e">
        <f>ROUND(#REF!,2)</f>
        <v>#REF!</v>
      </c>
      <c r="E143" s="761" t="s">
        <v>2514</v>
      </c>
      <c r="F143" s="761" t="s">
        <v>2400</v>
      </c>
      <c r="G143" s="764" t="b">
        <f t="shared" si="3"/>
        <v>0</v>
      </c>
    </row>
    <row r="144" spans="1:7" ht="11.25" customHeight="1">
      <c r="A144" s="761" t="s">
        <v>2551</v>
      </c>
      <c r="B144" s="762" t="b">
        <f>AND('Список листов'!$B$43,'Список листов'!$B$40)</f>
        <v>1</v>
      </c>
      <c r="C144" s="763" t="e">
        <f>ROUND(#REF!,2)</f>
        <v>#REF!</v>
      </c>
      <c r="D144" s="763" t="e">
        <f>ROUND(#REF!,2)</f>
        <v>#REF!</v>
      </c>
      <c r="E144" s="761" t="s">
        <v>2516</v>
      </c>
      <c r="F144" s="761" t="s">
        <v>2400</v>
      </c>
      <c r="G144" s="764" t="b">
        <f t="shared" si="3"/>
        <v>0</v>
      </c>
    </row>
    <row r="145" spans="1:7" ht="11.25" customHeight="1">
      <c r="A145" s="761" t="s">
        <v>2552</v>
      </c>
      <c r="B145" s="762" t="b">
        <f>AND('Список листов'!$B$43,'Список листов'!$B$40)</f>
        <v>1</v>
      </c>
      <c r="C145" s="763" t="e">
        <f>ROUND(#REF!,2)</f>
        <v>#REF!</v>
      </c>
      <c r="D145" s="763" t="e">
        <f>ROUND(#REF!,2)</f>
        <v>#REF!</v>
      </c>
      <c r="E145" s="761" t="s">
        <v>2518</v>
      </c>
      <c r="F145" s="761" t="s">
        <v>2400</v>
      </c>
      <c r="G145" s="764" t="b">
        <f t="shared" si="3"/>
        <v>0</v>
      </c>
    </row>
    <row r="146" spans="1:7" ht="11.25" customHeight="1">
      <c r="A146" s="761" t="s">
        <v>2553</v>
      </c>
      <c r="B146" s="762" t="b">
        <f>AND('Список листов'!$B$43,'Список листов'!$B$40)</f>
        <v>1</v>
      </c>
      <c r="C146" s="763" t="e">
        <f>ROUND(#REF!,2)</f>
        <v>#REF!</v>
      </c>
      <c r="D146" s="763" t="e">
        <f>ROUND(#REF!,2)</f>
        <v>#REF!</v>
      </c>
      <c r="E146" s="761" t="s">
        <v>2520</v>
      </c>
      <c r="F146" s="761" t="s">
        <v>2400</v>
      </c>
      <c r="G146" s="764" t="b">
        <f t="shared" si="3"/>
        <v>0</v>
      </c>
    </row>
    <row r="147" spans="1:7" ht="11.25" customHeight="1">
      <c r="A147" s="761" t="s">
        <v>2554</v>
      </c>
      <c r="B147" s="762" t="b">
        <f>AND('Список листов'!$B$43,'Список листов'!$B$40)</f>
        <v>1</v>
      </c>
      <c r="C147" s="763" t="e">
        <f>ROUND(#REF!,2)</f>
        <v>#REF!</v>
      </c>
      <c r="D147" s="763" t="e">
        <f>ROUND(#REF!,2)</f>
        <v>#REF!</v>
      </c>
      <c r="E147" s="761" t="s">
        <v>2522</v>
      </c>
      <c r="F147" s="761" t="s">
        <v>2400</v>
      </c>
      <c r="G147" s="764" t="b">
        <f t="shared" ref="G147:G178" si="4">IFERROR(C147=D147,FALSE)</f>
        <v>0</v>
      </c>
    </row>
    <row r="148" spans="1:7" ht="11.25" customHeight="1">
      <c r="A148" s="761" t="s">
        <v>2555</v>
      </c>
      <c r="B148" s="762" t="b">
        <f>AND('Список листов'!$B$43,'Список листов'!$B$40)</f>
        <v>1</v>
      </c>
      <c r="C148" s="763" t="e">
        <f>ROUND(#REF!,2)</f>
        <v>#REF!</v>
      </c>
      <c r="D148" s="763" t="e">
        <f>ROUND(#REF!,2)</f>
        <v>#REF!</v>
      </c>
      <c r="E148" s="761" t="s">
        <v>2524</v>
      </c>
      <c r="F148" s="761" t="s">
        <v>2400</v>
      </c>
      <c r="G148" s="764" t="b">
        <f t="shared" si="4"/>
        <v>0</v>
      </c>
    </row>
    <row r="149" spans="1:7" ht="11.25" customHeight="1">
      <c r="A149" s="761" t="s">
        <v>2556</v>
      </c>
      <c r="B149" s="762" t="b">
        <f>AND('Список листов'!$B$43,'Список листов'!$B$40)</f>
        <v>1</v>
      </c>
      <c r="C149" s="763" t="e">
        <f>ROUND(#REF!,2)</f>
        <v>#REF!</v>
      </c>
      <c r="D149" s="763" t="e">
        <f>ROUND(#REF!,2)</f>
        <v>#REF!</v>
      </c>
      <c r="E149" s="761" t="s">
        <v>2526</v>
      </c>
      <c r="F149" s="761" t="s">
        <v>2400</v>
      </c>
      <c r="G149" s="764" t="b">
        <f t="shared" si="4"/>
        <v>0</v>
      </c>
    </row>
    <row r="150" spans="1:7" ht="11.25" customHeight="1">
      <c r="A150" s="761" t="s">
        <v>2557</v>
      </c>
      <c r="B150" s="762" t="b">
        <f>AND('Список листов'!$B$43,'Список листов'!$B$40)</f>
        <v>1</v>
      </c>
      <c r="C150" s="763" t="e">
        <f>ROUND(#REF!,2)</f>
        <v>#REF!</v>
      </c>
      <c r="D150" s="763" t="e">
        <f>ROUND(#REF!,2)</f>
        <v>#REF!</v>
      </c>
      <c r="E150" s="761" t="s">
        <v>2498</v>
      </c>
      <c r="F150" s="761" t="s">
        <v>2400</v>
      </c>
      <c r="G150" s="764" t="b">
        <f t="shared" si="4"/>
        <v>0</v>
      </c>
    </row>
    <row r="151" spans="1:7" ht="11.25" customHeight="1">
      <c r="A151" s="761" t="s">
        <v>2558</v>
      </c>
      <c r="B151" s="762" t="b">
        <f>AND('Список листов'!$B$43,'Список листов'!$B$40)</f>
        <v>1</v>
      </c>
      <c r="C151" s="763" t="e">
        <f>ROUND(#REF!,2)</f>
        <v>#REF!</v>
      </c>
      <c r="D151" s="763" t="e">
        <f>ROUND(#REF!,2)</f>
        <v>#REF!</v>
      </c>
      <c r="E151" s="761" t="s">
        <v>2500</v>
      </c>
      <c r="F151" s="761" t="s">
        <v>2400</v>
      </c>
      <c r="G151" s="764" t="b">
        <f t="shared" si="4"/>
        <v>0</v>
      </c>
    </row>
    <row r="152" spans="1:7" ht="11.25" customHeight="1">
      <c r="A152" s="761" t="s">
        <v>2559</v>
      </c>
      <c r="B152" s="762" t="b">
        <f>AND('Список листов'!$B$43,'Список листов'!$B$40)</f>
        <v>1</v>
      </c>
      <c r="C152" s="763" t="e">
        <f>ROUND(#REF!,2)</f>
        <v>#REF!</v>
      </c>
      <c r="D152" s="763" t="e">
        <f>ROUND(#REF!,2)</f>
        <v>#REF!</v>
      </c>
      <c r="E152" s="761" t="s">
        <v>2502</v>
      </c>
      <c r="F152" s="761" t="s">
        <v>2400</v>
      </c>
      <c r="G152" s="764" t="b">
        <f t="shared" si="4"/>
        <v>0</v>
      </c>
    </row>
    <row r="153" spans="1:7" ht="11.25" customHeight="1">
      <c r="A153" s="761" t="s">
        <v>2560</v>
      </c>
      <c r="B153" s="762" t="b">
        <f>AND('Список листов'!$B$43,'Список листов'!$B$40)</f>
        <v>1</v>
      </c>
      <c r="C153" s="763" t="e">
        <f>ROUND(#REF!,2)</f>
        <v>#REF!</v>
      </c>
      <c r="D153" s="763" t="e">
        <f>ROUND(#REF!,2)</f>
        <v>#REF!</v>
      </c>
      <c r="E153" s="761" t="s">
        <v>2504</v>
      </c>
      <c r="F153" s="761" t="s">
        <v>2400</v>
      </c>
      <c r="G153" s="764" t="b">
        <f t="shared" si="4"/>
        <v>0</v>
      </c>
    </row>
    <row r="154" spans="1:7" ht="11.25" customHeight="1">
      <c r="A154" s="761" t="s">
        <v>2561</v>
      </c>
      <c r="B154" s="762" t="b">
        <f>AND('Список листов'!$B$43,'Список листов'!$B$40)</f>
        <v>1</v>
      </c>
      <c r="C154" s="763" t="e">
        <f>ROUND(#REF!,2)</f>
        <v>#REF!</v>
      </c>
      <c r="D154" s="763" t="e">
        <f>ROUND(#REF!,2)</f>
        <v>#REF!</v>
      </c>
      <c r="E154" s="761" t="s">
        <v>2506</v>
      </c>
      <c r="F154" s="761" t="s">
        <v>2400</v>
      </c>
      <c r="G154" s="764" t="b">
        <f t="shared" si="4"/>
        <v>0</v>
      </c>
    </row>
    <row r="155" spans="1:7" ht="11.25" customHeight="1">
      <c r="A155" s="761" t="s">
        <v>2562</v>
      </c>
      <c r="B155" s="762" t="b">
        <f>AND('Список листов'!$B$43,'Список листов'!$B$40)</f>
        <v>1</v>
      </c>
      <c r="C155" s="763" t="e">
        <f>ROUND(#REF!,2)</f>
        <v>#REF!</v>
      </c>
      <c r="D155" s="763" t="e">
        <f>ROUND(#REF!,2)</f>
        <v>#REF!</v>
      </c>
      <c r="E155" s="761" t="s">
        <v>2508</v>
      </c>
      <c r="F155" s="761" t="s">
        <v>2400</v>
      </c>
      <c r="G155" s="764" t="b">
        <f t="shared" si="4"/>
        <v>0</v>
      </c>
    </row>
    <row r="156" spans="1:7" ht="11.25" customHeight="1">
      <c r="A156" s="761" t="s">
        <v>2563</v>
      </c>
      <c r="B156" s="762" t="b">
        <f>AND('Список листов'!$B$43,'Список листов'!$B$40)</f>
        <v>1</v>
      </c>
      <c r="C156" s="763" t="e">
        <f>ROUND(#REF!,2)</f>
        <v>#REF!</v>
      </c>
      <c r="D156" s="763" t="e">
        <f>ROUND(#REF!,2)</f>
        <v>#REF!</v>
      </c>
      <c r="E156" s="761" t="s">
        <v>2510</v>
      </c>
      <c r="F156" s="761" t="s">
        <v>2400</v>
      </c>
      <c r="G156" s="764" t="b">
        <f t="shared" si="4"/>
        <v>0</v>
      </c>
    </row>
    <row r="157" spans="1:7" ht="11.25" customHeight="1">
      <c r="A157" s="761" t="s">
        <v>2564</v>
      </c>
      <c r="B157" s="762" t="b">
        <f>AND('Список листов'!$B$43,'Список листов'!$B$40)</f>
        <v>1</v>
      </c>
      <c r="C157" s="763" t="e">
        <f>ROUND(#REF!,2)</f>
        <v>#REF!</v>
      </c>
      <c r="D157" s="763" t="e">
        <f>ROUND(#REF!,2)</f>
        <v>#REF!</v>
      </c>
      <c r="E157" s="761" t="s">
        <v>2512</v>
      </c>
      <c r="F157" s="761" t="s">
        <v>2400</v>
      </c>
      <c r="G157" s="764" t="b">
        <f t="shared" si="4"/>
        <v>0</v>
      </c>
    </row>
    <row r="158" spans="1:7" ht="11.25" customHeight="1">
      <c r="A158" s="761" t="s">
        <v>2565</v>
      </c>
      <c r="B158" s="762" t="b">
        <f>AND('Список листов'!$B$43,'Список листов'!$B$40)</f>
        <v>1</v>
      </c>
      <c r="C158" s="763" t="e">
        <f>ROUND(#REF!,2)</f>
        <v>#REF!</v>
      </c>
      <c r="D158" s="763" t="e">
        <f>ROUND(#REF!,2)</f>
        <v>#REF!</v>
      </c>
      <c r="E158" s="761" t="s">
        <v>2514</v>
      </c>
      <c r="F158" s="761" t="s">
        <v>2400</v>
      </c>
      <c r="G158" s="764" t="b">
        <f t="shared" si="4"/>
        <v>0</v>
      </c>
    </row>
    <row r="159" spans="1:7" ht="11.25" customHeight="1">
      <c r="A159" s="761" t="s">
        <v>2566</v>
      </c>
      <c r="B159" s="762" t="b">
        <f>AND('Список листов'!$B$43,'Список листов'!$B$40)</f>
        <v>1</v>
      </c>
      <c r="C159" s="763" t="e">
        <f>ROUND(#REF!,2)</f>
        <v>#REF!</v>
      </c>
      <c r="D159" s="763" t="e">
        <f>ROUND(#REF!,2)</f>
        <v>#REF!</v>
      </c>
      <c r="E159" s="761" t="s">
        <v>2516</v>
      </c>
      <c r="F159" s="761" t="s">
        <v>2400</v>
      </c>
      <c r="G159" s="764" t="b">
        <f t="shared" si="4"/>
        <v>0</v>
      </c>
    </row>
    <row r="160" spans="1:7" ht="11.25" customHeight="1">
      <c r="A160" s="761" t="s">
        <v>2567</v>
      </c>
      <c r="B160" s="762" t="b">
        <f>AND('Список листов'!$B$43,'Список листов'!$B$40)</f>
        <v>1</v>
      </c>
      <c r="C160" s="763" t="e">
        <f>ROUND(#REF!,2)</f>
        <v>#REF!</v>
      </c>
      <c r="D160" s="763" t="e">
        <f>ROUND(#REF!,2)</f>
        <v>#REF!</v>
      </c>
      <c r="E160" s="761" t="s">
        <v>2518</v>
      </c>
      <c r="F160" s="761" t="s">
        <v>2400</v>
      </c>
      <c r="G160" s="764" t="b">
        <f t="shared" si="4"/>
        <v>0</v>
      </c>
    </row>
    <row r="161" spans="1:7" ht="11.25" customHeight="1">
      <c r="A161" s="761" t="s">
        <v>2568</v>
      </c>
      <c r="B161" s="762" t="b">
        <f>AND('Список листов'!$B$43,'Список листов'!$B$40)</f>
        <v>1</v>
      </c>
      <c r="C161" s="763" t="e">
        <f>ROUND(#REF!,2)</f>
        <v>#REF!</v>
      </c>
      <c r="D161" s="763" t="e">
        <f>ROUND(#REF!,2)</f>
        <v>#REF!</v>
      </c>
      <c r="E161" s="761" t="s">
        <v>2520</v>
      </c>
      <c r="F161" s="761" t="s">
        <v>2400</v>
      </c>
      <c r="G161" s="764" t="b">
        <f t="shared" si="4"/>
        <v>0</v>
      </c>
    </row>
    <row r="162" spans="1:7" ht="11.25" customHeight="1">
      <c r="A162" s="761" t="s">
        <v>2569</v>
      </c>
      <c r="B162" s="762" t="b">
        <f>AND('Список листов'!$B$43,'Список листов'!$B$40)</f>
        <v>1</v>
      </c>
      <c r="C162" s="763" t="e">
        <f>ROUND(#REF!,2)</f>
        <v>#REF!</v>
      </c>
      <c r="D162" s="763" t="e">
        <f>ROUND(#REF!,2)</f>
        <v>#REF!</v>
      </c>
      <c r="E162" s="761" t="s">
        <v>2522</v>
      </c>
      <c r="F162" s="761" t="s">
        <v>2400</v>
      </c>
      <c r="G162" s="764" t="b">
        <f t="shared" si="4"/>
        <v>0</v>
      </c>
    </row>
    <row r="163" spans="1:7" ht="11.25" customHeight="1">
      <c r="A163" s="761" t="s">
        <v>2570</v>
      </c>
      <c r="B163" s="762" t="b">
        <f>AND('Список листов'!$B$43,'Список листов'!$B$40)</f>
        <v>1</v>
      </c>
      <c r="C163" s="763" t="e">
        <f>ROUND(#REF!,2)</f>
        <v>#REF!</v>
      </c>
      <c r="D163" s="763" t="e">
        <f>ROUND(#REF!,2)</f>
        <v>#REF!</v>
      </c>
      <c r="E163" s="761" t="s">
        <v>2524</v>
      </c>
      <c r="F163" s="761" t="s">
        <v>2400</v>
      </c>
      <c r="G163" s="764" t="b">
        <f t="shared" si="4"/>
        <v>0</v>
      </c>
    </row>
    <row r="164" spans="1:7" ht="11.25" customHeight="1">
      <c r="A164" s="761" t="s">
        <v>2571</v>
      </c>
      <c r="B164" s="762" t="b">
        <f>AND('Список листов'!$B$43,'Список листов'!$B$40)</f>
        <v>1</v>
      </c>
      <c r="C164" s="763" t="e">
        <f>ROUND(#REF!,2)</f>
        <v>#REF!</v>
      </c>
      <c r="D164" s="763" t="e">
        <f>ROUND(#REF!,2)</f>
        <v>#REF!</v>
      </c>
      <c r="E164" s="761" t="s">
        <v>2526</v>
      </c>
      <c r="F164" s="761" t="s">
        <v>2400</v>
      </c>
      <c r="G164" s="764" t="b">
        <f t="shared" si="4"/>
        <v>0</v>
      </c>
    </row>
    <row r="165" spans="1:7" ht="11.25" customHeight="1">
      <c r="A165" s="761" t="s">
        <v>2572</v>
      </c>
      <c r="B165" s="762" t="b">
        <f>AND('Список листов'!$B$43,'Список листов'!$B$40)</f>
        <v>1</v>
      </c>
      <c r="C165" s="763" t="e">
        <f>ROUND(#REF!,2)</f>
        <v>#REF!</v>
      </c>
      <c r="D165" s="763" t="e">
        <f>ROUND(#REF!,2)</f>
        <v>#REF!</v>
      </c>
      <c r="E165" s="761" t="s">
        <v>2573</v>
      </c>
      <c r="F165" s="761" t="s">
        <v>2400</v>
      </c>
      <c r="G165" s="764" t="b">
        <f t="shared" si="4"/>
        <v>0</v>
      </c>
    </row>
    <row r="166" spans="1:7" ht="11.25" customHeight="1">
      <c r="A166" s="761" t="s">
        <v>2574</v>
      </c>
      <c r="B166" s="762" t="b">
        <f>AND('Список листов'!$B$43,'Список листов'!$B$40)</f>
        <v>1</v>
      </c>
      <c r="C166" s="763" t="e">
        <f>ROUND(#REF!,2)</f>
        <v>#REF!</v>
      </c>
      <c r="D166" s="763" t="e">
        <f>ROUND(#REF!,2)</f>
        <v>#REF!</v>
      </c>
      <c r="E166" s="761" t="s">
        <v>2575</v>
      </c>
      <c r="F166" s="761" t="s">
        <v>2400</v>
      </c>
      <c r="G166" s="764" t="b">
        <f t="shared" si="4"/>
        <v>0</v>
      </c>
    </row>
    <row r="167" spans="1:7" ht="11.25" customHeight="1">
      <c r="A167" s="761" t="s">
        <v>2576</v>
      </c>
      <c r="B167" s="762" t="b">
        <f>AND('Список листов'!$B$43,'Список листов'!$B$40)</f>
        <v>1</v>
      </c>
      <c r="C167" s="763" t="e">
        <f>ROUND(#REF!,2)</f>
        <v>#REF!</v>
      </c>
      <c r="D167" s="763" t="e">
        <f>ROUND(#REF!,2)</f>
        <v>#REF!</v>
      </c>
      <c r="E167" s="761" t="s">
        <v>2577</v>
      </c>
      <c r="F167" s="761" t="s">
        <v>2400</v>
      </c>
      <c r="G167" s="764" t="b">
        <f t="shared" si="4"/>
        <v>0</v>
      </c>
    </row>
    <row r="168" spans="1:7" ht="11.25" customHeight="1">
      <c r="A168" s="761" t="s">
        <v>2578</v>
      </c>
      <c r="B168" s="762" t="b">
        <f>AND('Список листов'!$B$43,'Список листов'!$B$40)</f>
        <v>1</v>
      </c>
      <c r="C168" s="763" t="e">
        <f>ROUND(#REF!,2)</f>
        <v>#REF!</v>
      </c>
      <c r="D168" s="763" t="e">
        <f>ROUND(#REF!,2)</f>
        <v>#REF!</v>
      </c>
      <c r="E168" s="761" t="s">
        <v>2579</v>
      </c>
      <c r="F168" s="761" t="s">
        <v>2400</v>
      </c>
      <c r="G168" s="764" t="b">
        <f t="shared" si="4"/>
        <v>0</v>
      </c>
    </row>
    <row r="169" spans="1:7" ht="11.25" customHeight="1">
      <c r="A169" s="761" t="s">
        <v>2580</v>
      </c>
      <c r="B169" s="762" t="b">
        <f>AND('Список листов'!$B$43,'Список листов'!$B$40)</f>
        <v>1</v>
      </c>
      <c r="C169" s="763" t="e">
        <f>ROUND(#REF!,2)</f>
        <v>#REF!</v>
      </c>
      <c r="D169" s="763" t="e">
        <f>ROUND(#REF!,2)</f>
        <v>#REF!</v>
      </c>
      <c r="E169" s="761" t="s">
        <v>2581</v>
      </c>
      <c r="F169" s="761" t="s">
        <v>2400</v>
      </c>
      <c r="G169" s="764" t="b">
        <f t="shared" si="4"/>
        <v>0</v>
      </c>
    </row>
    <row r="170" spans="1:7" ht="11.25" customHeight="1">
      <c r="A170" s="761" t="s">
        <v>2582</v>
      </c>
      <c r="B170" s="762" t="b">
        <f>AND('Список листов'!$B$43,'Список листов'!$B$40)</f>
        <v>1</v>
      </c>
      <c r="C170" s="763" t="e">
        <f>ROUND(#REF!,2)</f>
        <v>#REF!</v>
      </c>
      <c r="D170" s="763" t="e">
        <f>ROUND(#REF!,2)</f>
        <v>#REF!</v>
      </c>
      <c r="E170" s="761" t="s">
        <v>2583</v>
      </c>
      <c r="F170" s="761" t="s">
        <v>2400</v>
      </c>
      <c r="G170" s="764" t="b">
        <f t="shared" si="4"/>
        <v>0</v>
      </c>
    </row>
    <row r="171" spans="1:7" ht="11.25" customHeight="1">
      <c r="A171" s="761" t="s">
        <v>2584</v>
      </c>
      <c r="B171" s="762" t="b">
        <f>AND('Список листов'!$B$43,'Список листов'!$B$40)</f>
        <v>1</v>
      </c>
      <c r="C171" s="763" t="e">
        <f>ROUND(#REF!,2)</f>
        <v>#REF!</v>
      </c>
      <c r="D171" s="763" t="e">
        <f>ROUND(#REF!,2)</f>
        <v>#REF!</v>
      </c>
      <c r="E171" s="761" t="s">
        <v>2585</v>
      </c>
      <c r="F171" s="761" t="s">
        <v>2400</v>
      </c>
      <c r="G171" s="764" t="b">
        <f t="shared" si="4"/>
        <v>0</v>
      </c>
    </row>
    <row r="172" spans="1:7" ht="11.25" customHeight="1">
      <c r="A172" s="761" t="s">
        <v>2586</v>
      </c>
      <c r="B172" s="762" t="b">
        <f>AND('Список листов'!$B$43,'Список листов'!$B$40)</f>
        <v>1</v>
      </c>
      <c r="C172" s="763" t="e">
        <f>ROUND(#REF!,2)</f>
        <v>#REF!</v>
      </c>
      <c r="D172" s="763" t="e">
        <f>ROUND(#REF!,2)</f>
        <v>#REF!</v>
      </c>
      <c r="E172" s="761" t="s">
        <v>2587</v>
      </c>
      <c r="F172" s="761" t="s">
        <v>2400</v>
      </c>
      <c r="G172" s="764" t="b">
        <f t="shared" si="4"/>
        <v>0</v>
      </c>
    </row>
    <row r="173" spans="1:7" ht="11.25" customHeight="1">
      <c r="A173" s="761" t="s">
        <v>2588</v>
      </c>
      <c r="B173" s="762" t="b">
        <f>AND('Список листов'!$B$43,'Список листов'!$B$40)</f>
        <v>1</v>
      </c>
      <c r="C173" s="763" t="e">
        <f>ROUND(#REF!,2)</f>
        <v>#REF!</v>
      </c>
      <c r="D173" s="763" t="e">
        <f>ROUND(#REF!,2)</f>
        <v>#REF!</v>
      </c>
      <c r="E173" s="761" t="s">
        <v>2589</v>
      </c>
      <c r="F173" s="761" t="s">
        <v>2400</v>
      </c>
      <c r="G173" s="764" t="b">
        <f t="shared" si="4"/>
        <v>0</v>
      </c>
    </row>
    <row r="174" spans="1:7" ht="11.25" customHeight="1">
      <c r="A174" s="761" t="s">
        <v>2590</v>
      </c>
      <c r="B174" s="762" t="b">
        <f>AND('Список листов'!$B$43,'Список листов'!$B$40)</f>
        <v>1</v>
      </c>
      <c r="C174" s="763" t="e">
        <f>ROUND(#REF!,2)</f>
        <v>#REF!</v>
      </c>
      <c r="D174" s="763" t="e">
        <f>ROUND(#REF!,2)</f>
        <v>#REF!</v>
      </c>
      <c r="E174" s="761" t="s">
        <v>2591</v>
      </c>
      <c r="F174" s="761" t="s">
        <v>2400</v>
      </c>
      <c r="G174" s="764" t="b">
        <f t="shared" si="4"/>
        <v>0</v>
      </c>
    </row>
    <row r="175" spans="1:7" ht="11.25" customHeight="1">
      <c r="A175" s="761" t="s">
        <v>2592</v>
      </c>
      <c r="B175" s="762" t="b">
        <f>AND('Список листов'!$B$43,'Список листов'!$B$40)</f>
        <v>1</v>
      </c>
      <c r="C175" s="763" t="e">
        <f>ROUND(#REF!,2)</f>
        <v>#REF!</v>
      </c>
      <c r="D175" s="763" t="e">
        <f>ROUND(#REF!,2)</f>
        <v>#REF!</v>
      </c>
      <c r="E175" s="761" t="s">
        <v>2593</v>
      </c>
      <c r="F175" s="761" t="s">
        <v>2400</v>
      </c>
      <c r="G175" s="764" t="b">
        <f t="shared" si="4"/>
        <v>0</v>
      </c>
    </row>
    <row r="176" spans="1:7" ht="11.25" customHeight="1">
      <c r="A176" s="761" t="s">
        <v>2594</v>
      </c>
      <c r="B176" s="762" t="b">
        <f>AND('Список листов'!$B$43,'Список листов'!$B$40)</f>
        <v>1</v>
      </c>
      <c r="C176" s="763" t="e">
        <f>ROUND(#REF!,2)</f>
        <v>#REF!</v>
      </c>
      <c r="D176" s="763" t="e">
        <f>ROUND(#REF!,2)</f>
        <v>#REF!</v>
      </c>
      <c r="E176" s="761" t="s">
        <v>2595</v>
      </c>
      <c r="F176" s="761" t="s">
        <v>2400</v>
      </c>
      <c r="G176" s="764" t="b">
        <f t="shared" si="4"/>
        <v>0</v>
      </c>
    </row>
    <row r="177" spans="1:7" ht="11.25" customHeight="1">
      <c r="A177" s="761" t="s">
        <v>2596</v>
      </c>
      <c r="B177" s="762" t="b">
        <f>AND('Список листов'!$B$43,'Список листов'!$B$40)</f>
        <v>1</v>
      </c>
      <c r="C177" s="763" t="e">
        <f>ROUND(#REF!,2)</f>
        <v>#REF!</v>
      </c>
      <c r="D177" s="763" t="e">
        <f>ROUND(#REF!,2)</f>
        <v>#REF!</v>
      </c>
      <c r="E177" s="761" t="s">
        <v>2597</v>
      </c>
      <c r="F177" s="761" t="s">
        <v>2400</v>
      </c>
      <c r="G177" s="764" t="b">
        <f t="shared" si="4"/>
        <v>0</v>
      </c>
    </row>
    <row r="178" spans="1:7" ht="11.25" customHeight="1">
      <c r="A178" s="761" t="s">
        <v>2598</v>
      </c>
      <c r="B178" s="762" t="b">
        <f>AND('Список листов'!$B$43,'Список листов'!$B$40)</f>
        <v>1</v>
      </c>
      <c r="C178" s="763" t="e">
        <f>ROUND(#REF!,2)</f>
        <v>#REF!</v>
      </c>
      <c r="D178" s="763" t="e">
        <f>ROUND(#REF!,2)</f>
        <v>#REF!</v>
      </c>
      <c r="E178" s="761" t="s">
        <v>2599</v>
      </c>
      <c r="F178" s="761" t="s">
        <v>2400</v>
      </c>
      <c r="G178" s="764" t="b">
        <f t="shared" si="4"/>
        <v>0</v>
      </c>
    </row>
    <row r="179" spans="1:7" ht="11.25" customHeight="1">
      <c r="A179" s="761" t="s">
        <v>2600</v>
      </c>
      <c r="B179" s="762" t="b">
        <f>AND('Список листов'!$B$43,'Список листов'!$B$40)</f>
        <v>1</v>
      </c>
      <c r="C179" s="763" t="e">
        <f>ROUND(#REF!,2)</f>
        <v>#REF!</v>
      </c>
      <c r="D179" s="763" t="e">
        <f>ROUND(#REF!,2)</f>
        <v>#REF!</v>
      </c>
      <c r="E179" s="761" t="s">
        <v>2601</v>
      </c>
      <c r="F179" s="761" t="s">
        <v>2400</v>
      </c>
      <c r="G179" s="764" t="b">
        <f t="shared" ref="G179:G210" si="5">IFERROR(C179=D179,FALSE)</f>
        <v>0</v>
      </c>
    </row>
    <row r="180" spans="1:7" ht="11.25" customHeight="1">
      <c r="A180" s="761" t="s">
        <v>2602</v>
      </c>
      <c r="B180" s="762" t="b">
        <f>AND('Список листов'!$B$43,'Список листов'!$B$40)</f>
        <v>1</v>
      </c>
      <c r="C180" s="763" t="e">
        <f>ROUND(#REF!,2)</f>
        <v>#REF!</v>
      </c>
      <c r="D180" s="763" t="e">
        <f>ROUND(#REF!,2)</f>
        <v>#REF!</v>
      </c>
      <c r="E180" s="761" t="s">
        <v>2573</v>
      </c>
      <c r="F180" s="761" t="s">
        <v>2400</v>
      </c>
      <c r="G180" s="764" t="b">
        <f t="shared" si="5"/>
        <v>0</v>
      </c>
    </row>
    <row r="181" spans="1:7" ht="11.25" customHeight="1">
      <c r="A181" s="761" t="s">
        <v>2603</v>
      </c>
      <c r="B181" s="762" t="b">
        <f>AND('Список листов'!$B$43,'Список листов'!$B$40)</f>
        <v>1</v>
      </c>
      <c r="C181" s="763" t="e">
        <f>ROUND(#REF!,2)</f>
        <v>#REF!</v>
      </c>
      <c r="D181" s="763" t="e">
        <f>ROUND(#REF!,2)</f>
        <v>#REF!</v>
      </c>
      <c r="E181" s="761" t="s">
        <v>2575</v>
      </c>
      <c r="F181" s="761" t="s">
        <v>2400</v>
      </c>
      <c r="G181" s="764" t="b">
        <f t="shared" si="5"/>
        <v>0</v>
      </c>
    </row>
    <row r="182" spans="1:7" ht="11.25" customHeight="1">
      <c r="A182" s="761" t="s">
        <v>2604</v>
      </c>
      <c r="B182" s="762" t="b">
        <f>AND('Список листов'!$B$43,'Список листов'!$B$40)</f>
        <v>1</v>
      </c>
      <c r="C182" s="763" t="e">
        <f>ROUND(#REF!,2)</f>
        <v>#REF!</v>
      </c>
      <c r="D182" s="763" t="e">
        <f>ROUND(#REF!,2)</f>
        <v>#REF!</v>
      </c>
      <c r="E182" s="761" t="s">
        <v>2577</v>
      </c>
      <c r="F182" s="761" t="s">
        <v>2400</v>
      </c>
      <c r="G182" s="764" t="b">
        <f t="shared" si="5"/>
        <v>0</v>
      </c>
    </row>
    <row r="183" spans="1:7" ht="11.25" customHeight="1">
      <c r="A183" s="761" t="s">
        <v>2605</v>
      </c>
      <c r="B183" s="762" t="b">
        <f>AND('Список листов'!$B$43,'Список листов'!$B$40)</f>
        <v>1</v>
      </c>
      <c r="C183" s="763" t="e">
        <f>ROUND(#REF!,2)</f>
        <v>#REF!</v>
      </c>
      <c r="D183" s="763" t="e">
        <f>ROUND(#REF!,2)</f>
        <v>#REF!</v>
      </c>
      <c r="E183" s="761" t="s">
        <v>2579</v>
      </c>
      <c r="F183" s="761" t="s">
        <v>2400</v>
      </c>
      <c r="G183" s="764" t="b">
        <f t="shared" si="5"/>
        <v>0</v>
      </c>
    </row>
    <row r="184" spans="1:7" ht="11.25" customHeight="1">
      <c r="A184" s="761" t="s">
        <v>2606</v>
      </c>
      <c r="B184" s="762" t="b">
        <f>AND('Список листов'!$B$43,'Список листов'!$B$40)</f>
        <v>1</v>
      </c>
      <c r="C184" s="763" t="e">
        <f>ROUND(#REF!,2)</f>
        <v>#REF!</v>
      </c>
      <c r="D184" s="763" t="e">
        <f>ROUND(#REF!,2)</f>
        <v>#REF!</v>
      </c>
      <c r="E184" s="761" t="s">
        <v>2581</v>
      </c>
      <c r="F184" s="761" t="s">
        <v>2400</v>
      </c>
      <c r="G184" s="764" t="b">
        <f t="shared" si="5"/>
        <v>0</v>
      </c>
    </row>
    <row r="185" spans="1:7" ht="11.25" customHeight="1">
      <c r="A185" s="761" t="s">
        <v>2607</v>
      </c>
      <c r="B185" s="762" t="b">
        <f>AND('Список листов'!$B$43,'Список листов'!$B$40)</f>
        <v>1</v>
      </c>
      <c r="C185" s="763" t="e">
        <f>ROUND(#REF!,2)</f>
        <v>#REF!</v>
      </c>
      <c r="D185" s="763" t="e">
        <f>ROUND(#REF!,2)</f>
        <v>#REF!</v>
      </c>
      <c r="E185" s="761" t="s">
        <v>2583</v>
      </c>
      <c r="F185" s="761" t="s">
        <v>2400</v>
      </c>
      <c r="G185" s="764" t="b">
        <f t="shared" si="5"/>
        <v>0</v>
      </c>
    </row>
    <row r="186" spans="1:7" ht="11.25" customHeight="1">
      <c r="A186" s="761" t="s">
        <v>2608</v>
      </c>
      <c r="B186" s="762" t="b">
        <f>AND('Список листов'!$B$43,'Список листов'!$B$40)</f>
        <v>1</v>
      </c>
      <c r="C186" s="763" t="e">
        <f>ROUND(#REF!,2)</f>
        <v>#REF!</v>
      </c>
      <c r="D186" s="763" t="e">
        <f>ROUND(#REF!,2)</f>
        <v>#REF!</v>
      </c>
      <c r="E186" s="761" t="s">
        <v>2585</v>
      </c>
      <c r="F186" s="761" t="s">
        <v>2400</v>
      </c>
      <c r="G186" s="764" t="b">
        <f t="shared" si="5"/>
        <v>0</v>
      </c>
    </row>
    <row r="187" spans="1:7" ht="11.25" customHeight="1">
      <c r="A187" s="761" t="s">
        <v>2609</v>
      </c>
      <c r="B187" s="762" t="b">
        <f>AND('Список листов'!$B$43,'Список листов'!$B$40)</f>
        <v>1</v>
      </c>
      <c r="C187" s="763" t="e">
        <f>ROUND(#REF!,2)</f>
        <v>#REF!</v>
      </c>
      <c r="D187" s="763" t="e">
        <f>ROUND(#REF!,2)</f>
        <v>#REF!</v>
      </c>
      <c r="E187" s="761" t="s">
        <v>2587</v>
      </c>
      <c r="F187" s="761" t="s">
        <v>2400</v>
      </c>
      <c r="G187" s="764" t="b">
        <f t="shared" si="5"/>
        <v>0</v>
      </c>
    </row>
    <row r="188" spans="1:7" ht="11.25" customHeight="1">
      <c r="A188" s="761" t="s">
        <v>2610</v>
      </c>
      <c r="B188" s="762" t="b">
        <f>AND('Список листов'!$B$43,'Список листов'!$B$40)</f>
        <v>1</v>
      </c>
      <c r="C188" s="763" t="e">
        <f>ROUND(#REF!,2)</f>
        <v>#REF!</v>
      </c>
      <c r="D188" s="763" t="e">
        <f>ROUND(#REF!,2)</f>
        <v>#REF!</v>
      </c>
      <c r="E188" s="761" t="s">
        <v>2589</v>
      </c>
      <c r="F188" s="761" t="s">
        <v>2400</v>
      </c>
      <c r="G188" s="764" t="b">
        <f t="shared" si="5"/>
        <v>0</v>
      </c>
    </row>
    <row r="189" spans="1:7" ht="11.25" customHeight="1">
      <c r="A189" s="761" t="s">
        <v>2611</v>
      </c>
      <c r="B189" s="762" t="b">
        <f>AND('Список листов'!$B$43,'Список листов'!$B$40)</f>
        <v>1</v>
      </c>
      <c r="C189" s="763" t="e">
        <f>ROUND(#REF!,2)</f>
        <v>#REF!</v>
      </c>
      <c r="D189" s="763" t="e">
        <f>ROUND(#REF!,2)</f>
        <v>#REF!</v>
      </c>
      <c r="E189" s="761" t="s">
        <v>2591</v>
      </c>
      <c r="F189" s="761" t="s">
        <v>2400</v>
      </c>
      <c r="G189" s="764" t="b">
        <f t="shared" si="5"/>
        <v>0</v>
      </c>
    </row>
    <row r="190" spans="1:7" ht="11.25" customHeight="1">
      <c r="A190" s="761" t="s">
        <v>2612</v>
      </c>
      <c r="B190" s="762" t="b">
        <f>AND('Список листов'!$B$43,'Список листов'!$B$40)</f>
        <v>1</v>
      </c>
      <c r="C190" s="763" t="e">
        <f>ROUND(#REF!,2)</f>
        <v>#REF!</v>
      </c>
      <c r="D190" s="763" t="e">
        <f>ROUND(#REF!,2)</f>
        <v>#REF!</v>
      </c>
      <c r="E190" s="761" t="s">
        <v>2593</v>
      </c>
      <c r="F190" s="761" t="s">
        <v>2400</v>
      </c>
      <c r="G190" s="764" t="b">
        <f t="shared" si="5"/>
        <v>0</v>
      </c>
    </row>
    <row r="191" spans="1:7" ht="11.25" customHeight="1">
      <c r="A191" s="761" t="s">
        <v>2613</v>
      </c>
      <c r="B191" s="762" t="b">
        <f>AND('Список листов'!$B$43,'Список листов'!$B$40)</f>
        <v>1</v>
      </c>
      <c r="C191" s="763" t="e">
        <f>ROUND(#REF!,2)</f>
        <v>#REF!</v>
      </c>
      <c r="D191" s="763" t="e">
        <f>ROUND(#REF!,2)</f>
        <v>#REF!</v>
      </c>
      <c r="E191" s="761" t="s">
        <v>2595</v>
      </c>
      <c r="F191" s="761" t="s">
        <v>2400</v>
      </c>
      <c r="G191" s="764" t="b">
        <f t="shared" si="5"/>
        <v>0</v>
      </c>
    </row>
    <row r="192" spans="1:7" ht="11.25" customHeight="1">
      <c r="A192" s="761" t="s">
        <v>2614</v>
      </c>
      <c r="B192" s="762" t="b">
        <f>AND('Список листов'!$B$43,'Список листов'!$B$40)</f>
        <v>1</v>
      </c>
      <c r="C192" s="763" t="e">
        <f>ROUND(#REF!,2)</f>
        <v>#REF!</v>
      </c>
      <c r="D192" s="763" t="e">
        <f>ROUND(#REF!,2)</f>
        <v>#REF!</v>
      </c>
      <c r="E192" s="761" t="s">
        <v>2597</v>
      </c>
      <c r="F192" s="761" t="s">
        <v>2400</v>
      </c>
      <c r="G192" s="764" t="b">
        <f t="shared" si="5"/>
        <v>0</v>
      </c>
    </row>
    <row r="193" spans="1:7" ht="11.25" customHeight="1">
      <c r="A193" s="761" t="s">
        <v>2615</v>
      </c>
      <c r="B193" s="762" t="b">
        <f>AND('Список листов'!$B$43,'Список листов'!$B$40)</f>
        <v>1</v>
      </c>
      <c r="C193" s="763" t="e">
        <f>ROUND(#REF!,2)</f>
        <v>#REF!</v>
      </c>
      <c r="D193" s="763" t="e">
        <f>ROUND(#REF!,2)</f>
        <v>#REF!</v>
      </c>
      <c r="E193" s="761" t="s">
        <v>2599</v>
      </c>
      <c r="F193" s="761" t="s">
        <v>2400</v>
      </c>
      <c r="G193" s="764" t="b">
        <f t="shared" si="5"/>
        <v>0</v>
      </c>
    </row>
    <row r="194" spans="1:7" ht="11.25" customHeight="1">
      <c r="A194" s="761" t="s">
        <v>2616</v>
      </c>
      <c r="B194" s="762" t="b">
        <f>AND('Список листов'!$B$43,'Список листов'!$B$40)</f>
        <v>1</v>
      </c>
      <c r="C194" s="763" t="e">
        <f>ROUND(#REF!,2)</f>
        <v>#REF!</v>
      </c>
      <c r="D194" s="763" t="e">
        <f>ROUND(#REF!,2)</f>
        <v>#REF!</v>
      </c>
      <c r="E194" s="761" t="s">
        <v>2601</v>
      </c>
      <c r="F194" s="761" t="s">
        <v>2400</v>
      </c>
      <c r="G194" s="764" t="b">
        <f t="shared" si="5"/>
        <v>0</v>
      </c>
    </row>
    <row r="195" spans="1:7" ht="11.25" customHeight="1">
      <c r="A195" s="761" t="s">
        <v>2617</v>
      </c>
      <c r="B195" s="762" t="b">
        <f>AND('Список листов'!$B$43,'Список листов'!$B$40)</f>
        <v>1</v>
      </c>
      <c r="C195" s="763" t="e">
        <f>ROUND(#REF!,2)</f>
        <v>#REF!</v>
      </c>
      <c r="D195" s="763" t="e">
        <f>ROUND(#REF!,2)</f>
        <v>#REF!</v>
      </c>
      <c r="E195" s="761" t="s">
        <v>2573</v>
      </c>
      <c r="F195" s="761" t="s">
        <v>2400</v>
      </c>
      <c r="G195" s="764" t="b">
        <f t="shared" si="5"/>
        <v>0</v>
      </c>
    </row>
    <row r="196" spans="1:7" ht="11.25" customHeight="1">
      <c r="A196" s="761" t="s">
        <v>2618</v>
      </c>
      <c r="B196" s="762" t="b">
        <f>AND('Список листов'!$B$43,'Список листов'!$B$40)</f>
        <v>1</v>
      </c>
      <c r="C196" s="763" t="e">
        <f>ROUND(#REF!,2)</f>
        <v>#REF!</v>
      </c>
      <c r="D196" s="763" t="e">
        <f>ROUND(#REF!,2)</f>
        <v>#REF!</v>
      </c>
      <c r="E196" s="761" t="s">
        <v>2575</v>
      </c>
      <c r="F196" s="761" t="s">
        <v>2400</v>
      </c>
      <c r="G196" s="764" t="b">
        <f t="shared" si="5"/>
        <v>0</v>
      </c>
    </row>
    <row r="197" spans="1:7" ht="11.25" customHeight="1">
      <c r="A197" s="761" t="s">
        <v>2619</v>
      </c>
      <c r="B197" s="762" t="b">
        <f>AND('Список листов'!$B$43,'Список листов'!$B$40)</f>
        <v>1</v>
      </c>
      <c r="C197" s="763" t="e">
        <f>ROUND(#REF!,2)</f>
        <v>#REF!</v>
      </c>
      <c r="D197" s="763" t="e">
        <f>ROUND(#REF!,2)</f>
        <v>#REF!</v>
      </c>
      <c r="E197" s="761" t="s">
        <v>2577</v>
      </c>
      <c r="F197" s="761" t="s">
        <v>2400</v>
      </c>
      <c r="G197" s="764" t="b">
        <f t="shared" si="5"/>
        <v>0</v>
      </c>
    </row>
    <row r="198" spans="1:7" ht="11.25" customHeight="1">
      <c r="A198" s="761" t="s">
        <v>2620</v>
      </c>
      <c r="B198" s="762" t="b">
        <f>AND('Список листов'!$B$43,'Список листов'!$B$40)</f>
        <v>1</v>
      </c>
      <c r="C198" s="763" t="e">
        <f>ROUND(#REF!,2)</f>
        <v>#REF!</v>
      </c>
      <c r="D198" s="763" t="e">
        <f>ROUND(#REF!,2)</f>
        <v>#REF!</v>
      </c>
      <c r="E198" s="761" t="s">
        <v>2579</v>
      </c>
      <c r="F198" s="761" t="s">
        <v>2400</v>
      </c>
      <c r="G198" s="764" t="b">
        <f t="shared" si="5"/>
        <v>0</v>
      </c>
    </row>
    <row r="199" spans="1:7" ht="11.25" customHeight="1">
      <c r="A199" s="761" t="s">
        <v>2621</v>
      </c>
      <c r="B199" s="762" t="b">
        <f>AND('Список листов'!$B$43,'Список листов'!$B$40)</f>
        <v>1</v>
      </c>
      <c r="C199" s="763" t="e">
        <f>ROUND(#REF!,2)</f>
        <v>#REF!</v>
      </c>
      <c r="D199" s="763" t="e">
        <f>ROUND(#REF!,2)</f>
        <v>#REF!</v>
      </c>
      <c r="E199" s="761" t="s">
        <v>2581</v>
      </c>
      <c r="F199" s="761" t="s">
        <v>2400</v>
      </c>
      <c r="G199" s="764" t="b">
        <f t="shared" si="5"/>
        <v>0</v>
      </c>
    </row>
    <row r="200" spans="1:7" ht="11.25" customHeight="1">
      <c r="A200" s="761" t="s">
        <v>2622</v>
      </c>
      <c r="B200" s="762" t="b">
        <f>AND('Список листов'!$B$43,'Список листов'!$B$40)</f>
        <v>1</v>
      </c>
      <c r="C200" s="763" t="e">
        <f>ROUND(#REF!,2)</f>
        <v>#REF!</v>
      </c>
      <c r="D200" s="763" t="e">
        <f>ROUND(#REF!,2)</f>
        <v>#REF!</v>
      </c>
      <c r="E200" s="761" t="s">
        <v>2583</v>
      </c>
      <c r="F200" s="761" t="s">
        <v>2400</v>
      </c>
      <c r="G200" s="764" t="b">
        <f t="shared" si="5"/>
        <v>0</v>
      </c>
    </row>
    <row r="201" spans="1:7" ht="11.25" customHeight="1">
      <c r="A201" s="761" t="s">
        <v>2623</v>
      </c>
      <c r="B201" s="762" t="b">
        <f>AND('Список листов'!$B$43,'Список листов'!$B$40)</f>
        <v>1</v>
      </c>
      <c r="C201" s="763" t="e">
        <f>ROUND(#REF!,2)</f>
        <v>#REF!</v>
      </c>
      <c r="D201" s="763" t="e">
        <f>ROUND(#REF!,2)</f>
        <v>#REF!</v>
      </c>
      <c r="E201" s="761" t="s">
        <v>2585</v>
      </c>
      <c r="F201" s="761" t="s">
        <v>2400</v>
      </c>
      <c r="G201" s="764" t="b">
        <f t="shared" si="5"/>
        <v>0</v>
      </c>
    </row>
    <row r="202" spans="1:7" ht="11.25" customHeight="1">
      <c r="A202" s="761" t="s">
        <v>2624</v>
      </c>
      <c r="B202" s="762" t="b">
        <f>AND('Список листов'!$B$43,'Список листов'!$B$40)</f>
        <v>1</v>
      </c>
      <c r="C202" s="763" t="e">
        <f>ROUND(#REF!,2)</f>
        <v>#REF!</v>
      </c>
      <c r="D202" s="763" t="e">
        <f>ROUND(#REF!,2)</f>
        <v>#REF!</v>
      </c>
      <c r="E202" s="761" t="s">
        <v>2587</v>
      </c>
      <c r="F202" s="761" t="s">
        <v>2400</v>
      </c>
      <c r="G202" s="764" t="b">
        <f t="shared" si="5"/>
        <v>0</v>
      </c>
    </row>
    <row r="203" spans="1:7" ht="11.25" customHeight="1">
      <c r="A203" s="761" t="s">
        <v>2625</v>
      </c>
      <c r="B203" s="762" t="b">
        <f>AND('Список листов'!$B$43,'Список листов'!$B$40)</f>
        <v>1</v>
      </c>
      <c r="C203" s="763" t="e">
        <f>ROUND(#REF!,2)</f>
        <v>#REF!</v>
      </c>
      <c r="D203" s="763" t="e">
        <f>ROUND(#REF!,2)</f>
        <v>#REF!</v>
      </c>
      <c r="E203" s="761" t="s">
        <v>2589</v>
      </c>
      <c r="F203" s="761" t="s">
        <v>2400</v>
      </c>
      <c r="G203" s="764" t="b">
        <f t="shared" si="5"/>
        <v>0</v>
      </c>
    </row>
    <row r="204" spans="1:7" ht="11.25" customHeight="1">
      <c r="A204" s="761" t="s">
        <v>2626</v>
      </c>
      <c r="B204" s="762" t="b">
        <f>AND('Список листов'!$B$43,'Список листов'!$B$40)</f>
        <v>1</v>
      </c>
      <c r="C204" s="763" t="e">
        <f>ROUND(#REF!,2)</f>
        <v>#REF!</v>
      </c>
      <c r="D204" s="763" t="e">
        <f>ROUND(#REF!,2)</f>
        <v>#REF!</v>
      </c>
      <c r="E204" s="761" t="s">
        <v>2591</v>
      </c>
      <c r="F204" s="761" t="s">
        <v>2400</v>
      </c>
      <c r="G204" s="764" t="b">
        <f t="shared" si="5"/>
        <v>0</v>
      </c>
    </row>
    <row r="205" spans="1:7" ht="11.25" customHeight="1">
      <c r="A205" s="761" t="s">
        <v>2627</v>
      </c>
      <c r="B205" s="762" t="b">
        <f>AND('Список листов'!$B$43,'Список листов'!$B$40)</f>
        <v>1</v>
      </c>
      <c r="C205" s="763" t="e">
        <f>ROUND(#REF!,2)</f>
        <v>#REF!</v>
      </c>
      <c r="D205" s="763" t="e">
        <f>ROUND(#REF!,2)</f>
        <v>#REF!</v>
      </c>
      <c r="E205" s="761" t="s">
        <v>2593</v>
      </c>
      <c r="F205" s="761" t="s">
        <v>2400</v>
      </c>
      <c r="G205" s="764" t="b">
        <f t="shared" si="5"/>
        <v>0</v>
      </c>
    </row>
    <row r="206" spans="1:7" ht="11.25" customHeight="1">
      <c r="A206" s="761" t="s">
        <v>2628</v>
      </c>
      <c r="B206" s="762" t="b">
        <f>AND('Список листов'!$B$43,'Список листов'!$B$40)</f>
        <v>1</v>
      </c>
      <c r="C206" s="763" t="e">
        <f>ROUND(#REF!,2)</f>
        <v>#REF!</v>
      </c>
      <c r="D206" s="763" t="e">
        <f>ROUND(#REF!,2)</f>
        <v>#REF!</v>
      </c>
      <c r="E206" s="761" t="s">
        <v>2595</v>
      </c>
      <c r="F206" s="761" t="s">
        <v>2400</v>
      </c>
      <c r="G206" s="764" t="b">
        <f t="shared" si="5"/>
        <v>0</v>
      </c>
    </row>
    <row r="207" spans="1:7" ht="11.25" customHeight="1">
      <c r="A207" s="761" t="s">
        <v>2629</v>
      </c>
      <c r="B207" s="762" t="b">
        <f>AND('Список листов'!$B$43,'Список листов'!$B$40)</f>
        <v>1</v>
      </c>
      <c r="C207" s="763" t="e">
        <f>ROUND(#REF!,2)</f>
        <v>#REF!</v>
      </c>
      <c r="D207" s="763" t="e">
        <f>ROUND(#REF!,2)</f>
        <v>#REF!</v>
      </c>
      <c r="E207" s="761" t="s">
        <v>2597</v>
      </c>
      <c r="F207" s="761" t="s">
        <v>2400</v>
      </c>
      <c r="G207" s="764" t="b">
        <f t="shared" si="5"/>
        <v>0</v>
      </c>
    </row>
    <row r="208" spans="1:7" ht="11.25" customHeight="1">
      <c r="A208" s="761" t="s">
        <v>2630</v>
      </c>
      <c r="B208" s="762" t="b">
        <f>AND('Список листов'!$B$43,'Список листов'!$B$40)</f>
        <v>1</v>
      </c>
      <c r="C208" s="763" t="e">
        <f>ROUND(#REF!,2)</f>
        <v>#REF!</v>
      </c>
      <c r="D208" s="763" t="e">
        <f>ROUND(#REF!,2)</f>
        <v>#REF!</v>
      </c>
      <c r="E208" s="761" t="s">
        <v>2599</v>
      </c>
      <c r="F208" s="761" t="s">
        <v>2400</v>
      </c>
      <c r="G208" s="764" t="b">
        <f t="shared" si="5"/>
        <v>0</v>
      </c>
    </row>
    <row r="209" spans="1:7" ht="11.25" customHeight="1">
      <c r="A209" s="761" t="s">
        <v>2631</v>
      </c>
      <c r="B209" s="762" t="b">
        <f>AND('Список листов'!$B$43,'Список листов'!$B$40)</f>
        <v>1</v>
      </c>
      <c r="C209" s="763" t="e">
        <f>ROUND(#REF!,2)</f>
        <v>#REF!</v>
      </c>
      <c r="D209" s="763" t="e">
        <f>ROUND(#REF!,2)</f>
        <v>#REF!</v>
      </c>
      <c r="E209" s="761" t="s">
        <v>2601</v>
      </c>
      <c r="F209" s="761" t="s">
        <v>2400</v>
      </c>
      <c r="G209" s="764" t="b">
        <f t="shared" si="5"/>
        <v>0</v>
      </c>
    </row>
    <row r="210" spans="1:7" ht="11.25" customHeight="1">
      <c r="A210" s="761" t="s">
        <v>2632</v>
      </c>
      <c r="B210" s="762" t="b">
        <f>AND('Список листов'!$B$43,'Список листов'!$B$40)</f>
        <v>1</v>
      </c>
      <c r="C210" s="763" t="e">
        <f>ROUND(#REF!,2)</f>
        <v>#REF!</v>
      </c>
      <c r="D210" s="763" t="e">
        <f>ROUND(#REF!,2)</f>
        <v>#REF!</v>
      </c>
      <c r="E210" s="761" t="s">
        <v>2573</v>
      </c>
      <c r="F210" s="761" t="s">
        <v>2400</v>
      </c>
      <c r="G210" s="764" t="b">
        <f t="shared" si="5"/>
        <v>0</v>
      </c>
    </row>
    <row r="211" spans="1:7" ht="11.25" customHeight="1">
      <c r="A211" s="761" t="s">
        <v>2633</v>
      </c>
      <c r="B211" s="762" t="b">
        <f>AND('Список листов'!$B$43,'Список листов'!$B$40)</f>
        <v>1</v>
      </c>
      <c r="C211" s="763" t="e">
        <f>ROUND(#REF!,2)</f>
        <v>#REF!</v>
      </c>
      <c r="D211" s="763" t="e">
        <f>ROUND(#REF!,2)</f>
        <v>#REF!</v>
      </c>
      <c r="E211" s="761" t="s">
        <v>2575</v>
      </c>
      <c r="F211" s="761" t="s">
        <v>2400</v>
      </c>
      <c r="G211" s="764" t="b">
        <f t="shared" ref="G211:G230" si="6">IFERROR(C211=D211,FALSE)</f>
        <v>0</v>
      </c>
    </row>
    <row r="212" spans="1:7" ht="11.25" customHeight="1">
      <c r="A212" s="761" t="s">
        <v>2634</v>
      </c>
      <c r="B212" s="762" t="b">
        <f>AND('Список листов'!$B$43,'Список листов'!$B$40)</f>
        <v>1</v>
      </c>
      <c r="C212" s="763" t="e">
        <f>ROUND(#REF!,2)</f>
        <v>#REF!</v>
      </c>
      <c r="D212" s="763" t="e">
        <f>ROUND(#REF!,2)</f>
        <v>#REF!</v>
      </c>
      <c r="E212" s="761" t="s">
        <v>2577</v>
      </c>
      <c r="F212" s="761" t="s">
        <v>2400</v>
      </c>
      <c r="G212" s="764" t="b">
        <f t="shared" si="6"/>
        <v>0</v>
      </c>
    </row>
    <row r="213" spans="1:7" ht="11.25" customHeight="1">
      <c r="A213" s="761" t="s">
        <v>2635</v>
      </c>
      <c r="B213" s="762" t="b">
        <f>AND('Список листов'!$B$43,'Список листов'!$B$40)</f>
        <v>1</v>
      </c>
      <c r="C213" s="763" t="e">
        <f>ROUND(#REF!,2)</f>
        <v>#REF!</v>
      </c>
      <c r="D213" s="763" t="e">
        <f>ROUND(#REF!,2)</f>
        <v>#REF!</v>
      </c>
      <c r="E213" s="761" t="s">
        <v>2579</v>
      </c>
      <c r="F213" s="761" t="s">
        <v>2400</v>
      </c>
      <c r="G213" s="764" t="b">
        <f t="shared" si="6"/>
        <v>0</v>
      </c>
    </row>
    <row r="214" spans="1:7" ht="11.25" customHeight="1">
      <c r="A214" s="761" t="s">
        <v>2636</v>
      </c>
      <c r="B214" s="762" t="b">
        <f>AND('Список листов'!$B$43,'Список листов'!$B$40)</f>
        <v>1</v>
      </c>
      <c r="C214" s="763" t="e">
        <f>ROUND(#REF!,2)</f>
        <v>#REF!</v>
      </c>
      <c r="D214" s="763" t="e">
        <f>ROUND(#REF!,2)</f>
        <v>#REF!</v>
      </c>
      <c r="E214" s="761" t="s">
        <v>2581</v>
      </c>
      <c r="F214" s="761" t="s">
        <v>2400</v>
      </c>
      <c r="G214" s="764" t="b">
        <f t="shared" si="6"/>
        <v>0</v>
      </c>
    </row>
    <row r="215" spans="1:7" ht="11.25" customHeight="1">
      <c r="A215" s="761" t="s">
        <v>2637</v>
      </c>
      <c r="B215" s="762" t="b">
        <f>AND('Список листов'!$B$43,'Список листов'!$B$40)</f>
        <v>1</v>
      </c>
      <c r="C215" s="763" t="e">
        <f>ROUND(#REF!,2)</f>
        <v>#REF!</v>
      </c>
      <c r="D215" s="763" t="e">
        <f>ROUND(#REF!,2)</f>
        <v>#REF!</v>
      </c>
      <c r="E215" s="761" t="s">
        <v>2583</v>
      </c>
      <c r="F215" s="761" t="s">
        <v>2400</v>
      </c>
      <c r="G215" s="764" t="b">
        <f t="shared" si="6"/>
        <v>0</v>
      </c>
    </row>
    <row r="216" spans="1:7" ht="11.25" customHeight="1">
      <c r="A216" s="761" t="s">
        <v>2638</v>
      </c>
      <c r="B216" s="762" t="b">
        <f>AND('Список листов'!$B$43,'Список листов'!$B$40)</f>
        <v>1</v>
      </c>
      <c r="C216" s="763" t="e">
        <f>ROUND(#REF!,2)</f>
        <v>#REF!</v>
      </c>
      <c r="D216" s="763" t="e">
        <f>ROUND(#REF!,2)</f>
        <v>#REF!</v>
      </c>
      <c r="E216" s="761" t="s">
        <v>2585</v>
      </c>
      <c r="F216" s="761" t="s">
        <v>2400</v>
      </c>
      <c r="G216" s="764" t="b">
        <f t="shared" si="6"/>
        <v>0</v>
      </c>
    </row>
    <row r="217" spans="1:7" ht="11.25" customHeight="1">
      <c r="A217" s="761" t="s">
        <v>2639</v>
      </c>
      <c r="B217" s="762" t="b">
        <f>AND('Список листов'!$B$43,'Список листов'!$B$40)</f>
        <v>1</v>
      </c>
      <c r="C217" s="763" t="e">
        <f>ROUND(#REF!,2)</f>
        <v>#REF!</v>
      </c>
      <c r="D217" s="763" t="e">
        <f>ROUND(#REF!,2)</f>
        <v>#REF!</v>
      </c>
      <c r="E217" s="761" t="s">
        <v>2587</v>
      </c>
      <c r="F217" s="761" t="s">
        <v>2400</v>
      </c>
      <c r="G217" s="764" t="b">
        <f t="shared" si="6"/>
        <v>0</v>
      </c>
    </row>
    <row r="218" spans="1:7" ht="11.25" customHeight="1">
      <c r="A218" s="761" t="s">
        <v>2640</v>
      </c>
      <c r="B218" s="762" t="b">
        <f>AND('Список листов'!$B$43,'Список листов'!$B$40)</f>
        <v>1</v>
      </c>
      <c r="C218" s="763" t="e">
        <f>ROUND(#REF!,2)</f>
        <v>#REF!</v>
      </c>
      <c r="D218" s="763" t="e">
        <f>ROUND(#REF!,2)</f>
        <v>#REF!</v>
      </c>
      <c r="E218" s="761" t="s">
        <v>2589</v>
      </c>
      <c r="F218" s="761" t="s">
        <v>2400</v>
      </c>
      <c r="G218" s="764" t="b">
        <f t="shared" si="6"/>
        <v>0</v>
      </c>
    </row>
    <row r="219" spans="1:7" ht="11.25" customHeight="1">
      <c r="A219" s="761" t="s">
        <v>2641</v>
      </c>
      <c r="B219" s="762" t="b">
        <f>AND('Список листов'!$B$43,'Список листов'!$B$40)</f>
        <v>1</v>
      </c>
      <c r="C219" s="763" t="e">
        <f>ROUND(#REF!,2)</f>
        <v>#REF!</v>
      </c>
      <c r="D219" s="763" t="e">
        <f>ROUND(#REF!,2)</f>
        <v>#REF!</v>
      </c>
      <c r="E219" s="761" t="s">
        <v>2591</v>
      </c>
      <c r="F219" s="761" t="s">
        <v>2400</v>
      </c>
      <c r="G219" s="764" t="b">
        <f t="shared" si="6"/>
        <v>0</v>
      </c>
    </row>
    <row r="220" spans="1:7" ht="11.25" customHeight="1">
      <c r="A220" s="761" t="s">
        <v>2642</v>
      </c>
      <c r="B220" s="762" t="b">
        <f>AND('Список листов'!$B$43,'Список листов'!$B$40)</f>
        <v>1</v>
      </c>
      <c r="C220" s="763" t="e">
        <f>ROUND(#REF!,2)</f>
        <v>#REF!</v>
      </c>
      <c r="D220" s="763" t="e">
        <f>ROUND(#REF!,2)</f>
        <v>#REF!</v>
      </c>
      <c r="E220" s="761" t="s">
        <v>2593</v>
      </c>
      <c r="F220" s="761" t="s">
        <v>2400</v>
      </c>
      <c r="G220" s="764" t="b">
        <f t="shared" si="6"/>
        <v>0</v>
      </c>
    </row>
    <row r="221" spans="1:7" ht="11.25" customHeight="1">
      <c r="A221" s="761" t="s">
        <v>2643</v>
      </c>
      <c r="B221" s="762" t="b">
        <f>AND('Список листов'!$B$43,'Список листов'!$B$40)</f>
        <v>1</v>
      </c>
      <c r="C221" s="763" t="e">
        <f>ROUND(#REF!,2)</f>
        <v>#REF!</v>
      </c>
      <c r="D221" s="763" t="e">
        <f>ROUND(#REF!,2)</f>
        <v>#REF!</v>
      </c>
      <c r="E221" s="761" t="s">
        <v>2595</v>
      </c>
      <c r="F221" s="761" t="s">
        <v>2400</v>
      </c>
      <c r="G221" s="764" t="b">
        <f t="shared" si="6"/>
        <v>0</v>
      </c>
    </row>
    <row r="222" spans="1:7" ht="11.25" customHeight="1">
      <c r="A222" s="761" t="s">
        <v>2644</v>
      </c>
      <c r="B222" s="762" t="b">
        <f>AND('Список листов'!$B$43,'Список листов'!$B$40)</f>
        <v>1</v>
      </c>
      <c r="C222" s="763" t="e">
        <f>ROUND(#REF!,2)</f>
        <v>#REF!</v>
      </c>
      <c r="D222" s="763" t="e">
        <f>ROUND(#REF!,2)</f>
        <v>#REF!</v>
      </c>
      <c r="E222" s="761" t="s">
        <v>2597</v>
      </c>
      <c r="F222" s="761" t="s">
        <v>2400</v>
      </c>
      <c r="G222" s="764" t="b">
        <f t="shared" si="6"/>
        <v>0</v>
      </c>
    </row>
    <row r="223" spans="1:7" ht="11.25" customHeight="1">
      <c r="A223" s="761" t="s">
        <v>2645</v>
      </c>
      <c r="B223" s="762" t="b">
        <f>AND('Список листов'!$B$43,'Список листов'!$B$40)</f>
        <v>1</v>
      </c>
      <c r="C223" s="763" t="e">
        <f>ROUND(#REF!,2)</f>
        <v>#REF!</v>
      </c>
      <c r="D223" s="763" t="e">
        <f>ROUND(#REF!,2)</f>
        <v>#REF!</v>
      </c>
      <c r="E223" s="761" t="s">
        <v>2599</v>
      </c>
      <c r="F223" s="761" t="s">
        <v>2400</v>
      </c>
      <c r="G223" s="764" t="b">
        <f t="shared" si="6"/>
        <v>0</v>
      </c>
    </row>
    <row r="224" spans="1:7" ht="11.25" customHeight="1">
      <c r="A224" s="761" t="s">
        <v>2646</v>
      </c>
      <c r="B224" s="762" t="b">
        <f>AND('Список листов'!$B$43,'Список листов'!$B$40)</f>
        <v>1</v>
      </c>
      <c r="C224" s="763" t="e">
        <f>ROUND(#REF!,2)</f>
        <v>#REF!</v>
      </c>
      <c r="D224" s="763" t="e">
        <f>ROUND(#REF!,2)</f>
        <v>#REF!</v>
      </c>
      <c r="E224" s="761" t="s">
        <v>2601</v>
      </c>
      <c r="F224" s="761" t="s">
        <v>2400</v>
      </c>
      <c r="G224" s="764" t="b">
        <f t="shared" si="6"/>
        <v>0</v>
      </c>
    </row>
    <row r="225" spans="1:7" ht="11.25" customHeight="1">
      <c r="A225" s="761" t="s">
        <v>2647</v>
      </c>
      <c r="B225" s="762" t="b">
        <f>AND('Список листов'!$B$43,'Список листов'!$B$40)</f>
        <v>1</v>
      </c>
      <c r="C225" s="763" t="e">
        <f>ROUND(#REF!,2)</f>
        <v>#REF!</v>
      </c>
      <c r="D225" s="763" t="e">
        <f>ROUND(#REF!,2)</f>
        <v>#REF!</v>
      </c>
      <c r="E225" s="761" t="s">
        <v>2429</v>
      </c>
      <c r="F225" s="761" t="s">
        <v>2400</v>
      </c>
      <c r="G225" s="764" t="b">
        <f t="shared" si="6"/>
        <v>0</v>
      </c>
    </row>
    <row r="226" spans="1:7" ht="11.25" customHeight="1">
      <c r="A226" s="761" t="s">
        <v>2648</v>
      </c>
      <c r="B226" s="762" t="b">
        <f>AND('Список листов'!$B$43,'Список листов'!$B$40)</f>
        <v>1</v>
      </c>
      <c r="C226" s="765" t="e">
        <f>ROUND(#REF!,2)</f>
        <v>#REF!</v>
      </c>
      <c r="D226" s="763" t="e">
        <f>ROUND(#REF!,2)</f>
        <v>#REF!</v>
      </c>
      <c r="E226" s="761" t="s">
        <v>2439</v>
      </c>
      <c r="F226" s="761" t="s">
        <v>2400</v>
      </c>
      <c r="G226" s="764" t="b">
        <f t="shared" si="6"/>
        <v>0</v>
      </c>
    </row>
    <row r="227" spans="1:7" ht="11.25" customHeight="1">
      <c r="A227" s="761" t="s">
        <v>2649</v>
      </c>
      <c r="B227" s="762" t="b">
        <f>AND('Список листов'!$B$43,'Список листов'!$B$40)</f>
        <v>1</v>
      </c>
      <c r="C227" s="765" t="e">
        <f>ROUND(#REF!,2)</f>
        <v>#REF!</v>
      </c>
      <c r="D227" s="763" t="e">
        <f>ROUND(#REF!,2)</f>
        <v>#REF!</v>
      </c>
      <c r="E227" s="761" t="s">
        <v>2449</v>
      </c>
      <c r="F227" s="761" t="s">
        <v>2400</v>
      </c>
      <c r="G227" s="764" t="b">
        <f t="shared" si="6"/>
        <v>0</v>
      </c>
    </row>
    <row r="228" spans="1:7" ht="11.25" customHeight="1">
      <c r="A228" s="761" t="s">
        <v>2650</v>
      </c>
      <c r="B228" s="762" t="b">
        <f>AND('Список листов'!$B$43,'Список листов'!$B$40)</f>
        <v>1</v>
      </c>
      <c r="C228" s="763" t="e">
        <f>ROUND(#REF!,2)</f>
        <v>#REF!</v>
      </c>
      <c r="D228" s="763" t="e">
        <f>ROUND(#REF!,2)</f>
        <v>#REF!</v>
      </c>
      <c r="E228" s="761" t="s">
        <v>2429</v>
      </c>
      <c r="F228" s="761" t="s">
        <v>2400</v>
      </c>
      <c r="G228" s="764" t="b">
        <f t="shared" si="6"/>
        <v>0</v>
      </c>
    </row>
    <row r="229" spans="1:7" ht="11.25" customHeight="1">
      <c r="A229" s="761" t="s">
        <v>2651</v>
      </c>
      <c r="B229" s="762" t="b">
        <f>AND('Список листов'!$B$43,'Список листов'!$B$40)</f>
        <v>1</v>
      </c>
      <c r="C229" s="765" t="e">
        <f>ROUND(#REF!,2)</f>
        <v>#REF!</v>
      </c>
      <c r="D229" s="763" t="e">
        <f>ROUND(#REF!,2)</f>
        <v>#REF!</v>
      </c>
      <c r="E229" s="761" t="s">
        <v>2439</v>
      </c>
      <c r="F229" s="761" t="s">
        <v>2400</v>
      </c>
      <c r="G229" s="764" t="b">
        <f t="shared" si="6"/>
        <v>0</v>
      </c>
    </row>
    <row r="230" spans="1:7" ht="11.25" customHeight="1">
      <c r="A230" s="761" t="s">
        <v>2652</v>
      </c>
      <c r="B230" s="762" t="b">
        <f>AND('Список листов'!$B$43,'Список листов'!$B$40)</f>
        <v>1</v>
      </c>
      <c r="C230" s="765" t="e">
        <f>ROUND(#REF!,2)</f>
        <v>#REF!</v>
      </c>
      <c r="D230" s="763" t="e">
        <f>ROUND(#REF!,2)</f>
        <v>#REF!</v>
      </c>
      <c r="E230" s="761" t="s">
        <v>2449</v>
      </c>
      <c r="F230" s="761" t="s">
        <v>2400</v>
      </c>
      <c r="G230" s="764" t="b">
        <f t="shared" si="6"/>
        <v>0</v>
      </c>
    </row>
    <row r="231" spans="1:7" ht="11.25" customHeight="1">
      <c r="A231" s="766" t="s">
        <v>632</v>
      </c>
      <c r="B231" s="767" t="b">
        <f>AND('Список листов'!B42,'Список листов'!B40)</f>
        <v>1</v>
      </c>
      <c r="C231" s="768" t="e">
        <f>#REF!</f>
        <v>#REF!</v>
      </c>
      <c r="D231" s="768" t="e">
        <f>AVERAGE(#REF!)</f>
        <v>#REF!</v>
      </c>
      <c r="E231" s="766" t="s">
        <v>2653</v>
      </c>
      <c r="F231" s="766" t="s">
        <v>2400</v>
      </c>
      <c r="G231" s="767" t="b">
        <f t="shared" ref="G231:G254" si="7">IFERROR(ABS(C231-D231)&lt;1/100,FALSE)</f>
        <v>0</v>
      </c>
    </row>
    <row r="232" spans="1:7" ht="11.25" customHeight="1">
      <c r="A232" s="766" t="s">
        <v>762</v>
      </c>
      <c r="B232" s="767" t="b">
        <f>AND('Список листов'!B42,'Список листов'!B40)</f>
        <v>1</v>
      </c>
      <c r="C232" s="768" t="e">
        <f>#REF!</f>
        <v>#REF!</v>
      </c>
      <c r="D232" s="768" t="e">
        <f>AVERAGE(#REF!)</f>
        <v>#REF!</v>
      </c>
      <c r="E232" s="766" t="s">
        <v>2654</v>
      </c>
      <c r="F232" s="766" t="s">
        <v>2400</v>
      </c>
      <c r="G232" s="767" t="b">
        <f t="shared" si="7"/>
        <v>0</v>
      </c>
    </row>
    <row r="233" spans="1:7" ht="11.25" customHeight="1">
      <c r="A233" s="766" t="s">
        <v>763</v>
      </c>
      <c r="B233" s="767" t="b">
        <f>AND('Список листов'!B42,'Список листов'!B40)</f>
        <v>1</v>
      </c>
      <c r="C233" s="768" t="e">
        <f>#REF!</f>
        <v>#REF!</v>
      </c>
      <c r="D233" s="768" t="e">
        <f>#REF!</f>
        <v>#REF!</v>
      </c>
      <c r="E233" s="766" t="s">
        <v>2655</v>
      </c>
      <c r="F233" s="766" t="s">
        <v>2400</v>
      </c>
      <c r="G233" s="767" t="b">
        <f t="shared" si="7"/>
        <v>0</v>
      </c>
    </row>
    <row r="234" spans="1:7" ht="11.25" customHeight="1">
      <c r="A234" s="766" t="s">
        <v>765</v>
      </c>
      <c r="B234" s="767" t="b">
        <f>AND('Список листов'!B42,'Список листов'!B40)</f>
        <v>1</v>
      </c>
      <c r="C234" s="768" t="e">
        <f>#REF!</f>
        <v>#REF!</v>
      </c>
      <c r="D234" s="768" t="e">
        <f>#REF!</f>
        <v>#REF!</v>
      </c>
      <c r="E234" s="766" t="s">
        <v>2656</v>
      </c>
      <c r="F234" s="766" t="s">
        <v>2400</v>
      </c>
      <c r="G234" s="767" t="b">
        <f t="shared" si="7"/>
        <v>0</v>
      </c>
    </row>
    <row r="235" spans="1:7" ht="11.25" customHeight="1">
      <c r="A235" s="766" t="s">
        <v>770</v>
      </c>
      <c r="B235" s="767" t="b">
        <f>AND('Список листов'!B42,'Список листов'!B40)</f>
        <v>1</v>
      </c>
      <c r="C235" s="768" t="e">
        <f>#REF!</f>
        <v>#REF!</v>
      </c>
      <c r="D235" s="768" t="e">
        <f>#REF!</f>
        <v>#REF!</v>
      </c>
      <c r="E235" s="766" t="s">
        <v>2656</v>
      </c>
      <c r="F235" s="766" t="s">
        <v>2400</v>
      </c>
      <c r="G235" s="767" t="b">
        <f t="shared" si="7"/>
        <v>0</v>
      </c>
    </row>
    <row r="236" spans="1:7" ht="11.25" customHeight="1">
      <c r="A236" s="766" t="s">
        <v>907</v>
      </c>
      <c r="B236" s="767" t="b">
        <f>AND('Список листов'!B42,'Список листов'!B40)</f>
        <v>1</v>
      </c>
      <c r="C236" s="768" t="e">
        <f>#REF!</f>
        <v>#REF!</v>
      </c>
      <c r="D236" s="768" t="e">
        <f>AVERAGE(#REF!)</f>
        <v>#REF!</v>
      </c>
      <c r="E236" s="766" t="s">
        <v>2653</v>
      </c>
      <c r="F236" s="766" t="s">
        <v>2400</v>
      </c>
      <c r="G236" s="767" t="b">
        <f t="shared" si="7"/>
        <v>0</v>
      </c>
    </row>
    <row r="237" spans="1:7" ht="11.25" customHeight="1">
      <c r="A237" s="766" t="s">
        <v>908</v>
      </c>
      <c r="B237" s="767" t="b">
        <f>AND('Список листов'!B42,'Список листов'!B40)</f>
        <v>1</v>
      </c>
      <c r="C237" s="768" t="e">
        <f>#REF!</f>
        <v>#REF!</v>
      </c>
      <c r="D237" s="768" t="e">
        <f>AVERAGE(#REF!)</f>
        <v>#REF!</v>
      </c>
      <c r="E237" s="766" t="s">
        <v>2654</v>
      </c>
      <c r="F237" s="766" t="s">
        <v>2400</v>
      </c>
      <c r="G237" s="767" t="b">
        <f t="shared" si="7"/>
        <v>0</v>
      </c>
    </row>
    <row r="238" spans="1:7" ht="11.25" customHeight="1">
      <c r="A238" s="766" t="s">
        <v>909</v>
      </c>
      <c r="B238" s="767" t="b">
        <f>AND('Список листов'!B42,'Список листов'!B40)</f>
        <v>1</v>
      </c>
      <c r="C238" s="768" t="e">
        <f>#REF!</f>
        <v>#REF!</v>
      </c>
      <c r="D238" s="768" t="e">
        <f>#REF!</f>
        <v>#REF!</v>
      </c>
      <c r="E238" s="766" t="s">
        <v>2655</v>
      </c>
      <c r="F238" s="766" t="s">
        <v>2400</v>
      </c>
      <c r="G238" s="767" t="b">
        <f t="shared" si="7"/>
        <v>0</v>
      </c>
    </row>
    <row r="239" spans="1:7" ht="11.25" customHeight="1">
      <c r="A239" s="766" t="s">
        <v>910</v>
      </c>
      <c r="B239" s="767" t="b">
        <f>AND('Список листов'!B42,'Список листов'!B40)</f>
        <v>1</v>
      </c>
      <c r="C239" s="768" t="e">
        <f>#REF!</f>
        <v>#REF!</v>
      </c>
      <c r="D239" s="768" t="e">
        <f>AVERAGE(#REF!)</f>
        <v>#REF!</v>
      </c>
      <c r="E239" s="766" t="s">
        <v>2657</v>
      </c>
      <c r="F239" s="766" t="s">
        <v>2400</v>
      </c>
      <c r="G239" s="767" t="b">
        <f t="shared" si="7"/>
        <v>0</v>
      </c>
    </row>
    <row r="240" spans="1:7" ht="11.25" customHeight="1">
      <c r="A240" s="766" t="s">
        <v>982</v>
      </c>
      <c r="B240" s="767" t="b">
        <f>AND('Список листов'!B42,'Список листов'!B40)</f>
        <v>1</v>
      </c>
      <c r="C240" s="768" t="e">
        <f>#REF!</f>
        <v>#REF!</v>
      </c>
      <c r="D240" s="768" t="e">
        <f>AVERAGE(#REF!)</f>
        <v>#REF!</v>
      </c>
      <c r="E240" s="766" t="s">
        <v>2658</v>
      </c>
      <c r="F240" s="766" t="s">
        <v>2400</v>
      </c>
      <c r="G240" s="767" t="b">
        <f t="shared" si="7"/>
        <v>0</v>
      </c>
    </row>
    <row r="241" spans="1:7" ht="11.25" customHeight="1">
      <c r="A241" s="766" t="s">
        <v>983</v>
      </c>
      <c r="B241" s="767" t="b">
        <f>AND('Список листов'!B42,'Список листов'!B40)</f>
        <v>1</v>
      </c>
      <c r="C241" s="768" t="e">
        <f>#REF!</f>
        <v>#REF!</v>
      </c>
      <c r="D241" s="768" t="e">
        <f>#REF!</f>
        <v>#REF!</v>
      </c>
      <c r="E241" s="766" t="s">
        <v>2659</v>
      </c>
      <c r="F241" s="766" t="s">
        <v>2400</v>
      </c>
      <c r="G241" s="767" t="b">
        <f t="shared" si="7"/>
        <v>0</v>
      </c>
    </row>
    <row r="242" spans="1:7" ht="11.25" customHeight="1">
      <c r="A242" s="766" t="s">
        <v>1243</v>
      </c>
      <c r="B242" s="767" t="b">
        <f>AND('Список листов'!B42,'Список листов'!B40)</f>
        <v>1</v>
      </c>
      <c r="C242" s="768" t="e">
        <f>#REF!</f>
        <v>#REF!</v>
      </c>
      <c r="D242" s="768" t="e">
        <f>#REF!</f>
        <v>#REF!</v>
      </c>
      <c r="E242" s="766" t="s">
        <v>2660</v>
      </c>
      <c r="F242" s="766" t="s">
        <v>2400</v>
      </c>
      <c r="G242" s="767" t="b">
        <f t="shared" si="7"/>
        <v>0</v>
      </c>
    </row>
    <row r="243" spans="1:7" ht="11.25" customHeight="1">
      <c r="A243" s="766" t="s">
        <v>1856</v>
      </c>
      <c r="B243" s="767" t="b">
        <f>AND('Список листов'!B42,'Список листов'!B40)</f>
        <v>1</v>
      </c>
      <c r="C243" s="768" t="e">
        <f>#REF!</f>
        <v>#REF!</v>
      </c>
      <c r="D243" s="768" t="e">
        <f>#REF!</f>
        <v>#REF!</v>
      </c>
      <c r="E243" s="766" t="s">
        <v>2660</v>
      </c>
      <c r="F243" s="766" t="s">
        <v>2400</v>
      </c>
      <c r="G243" s="767" t="b">
        <f t="shared" si="7"/>
        <v>0</v>
      </c>
    </row>
    <row r="244" spans="1:7" ht="11.25" customHeight="1">
      <c r="A244" s="766" t="s">
        <v>1858</v>
      </c>
      <c r="B244" s="767" t="b">
        <f>AND('Список листов'!B42,'Список листов'!B40)</f>
        <v>1</v>
      </c>
      <c r="C244" s="768" t="e">
        <f>#REF!</f>
        <v>#REF!</v>
      </c>
      <c r="D244" s="768" t="e">
        <f>AVERAGE(#REF!)</f>
        <v>#REF!</v>
      </c>
      <c r="E244" s="766" t="s">
        <v>2661</v>
      </c>
      <c r="F244" s="766" t="s">
        <v>2400</v>
      </c>
      <c r="G244" s="767" t="b">
        <f t="shared" si="7"/>
        <v>0</v>
      </c>
    </row>
    <row r="245" spans="1:7" ht="11.25" customHeight="1">
      <c r="A245" s="766" t="s">
        <v>2072</v>
      </c>
      <c r="B245" s="767" t="b">
        <f>AND('Список листов'!B42,'Список листов'!B40)</f>
        <v>1</v>
      </c>
      <c r="C245" s="768" t="e">
        <f>#REF!</f>
        <v>#REF!</v>
      </c>
      <c r="D245" s="768" t="e">
        <f>AVERAGE(#REF!)</f>
        <v>#REF!</v>
      </c>
      <c r="E245" s="766" t="s">
        <v>2658</v>
      </c>
      <c r="F245" s="766" t="s">
        <v>2400</v>
      </c>
      <c r="G245" s="767" t="b">
        <f t="shared" si="7"/>
        <v>0</v>
      </c>
    </row>
    <row r="246" spans="1:7" ht="11.25" customHeight="1">
      <c r="A246" s="766" t="s">
        <v>2073</v>
      </c>
      <c r="B246" s="767" t="b">
        <f>AND('Список листов'!B42,'Список листов'!B40)</f>
        <v>1</v>
      </c>
      <c r="C246" s="768" t="e">
        <f>#REF!</f>
        <v>#REF!</v>
      </c>
      <c r="D246" s="768" t="e">
        <f>#REF!</f>
        <v>#REF!</v>
      </c>
      <c r="E246" s="766" t="s">
        <v>2659</v>
      </c>
      <c r="F246" s="766" t="s">
        <v>2400</v>
      </c>
      <c r="G246" s="767" t="b">
        <f t="shared" si="7"/>
        <v>0</v>
      </c>
    </row>
    <row r="247" spans="1:7" ht="11.25" customHeight="1">
      <c r="A247" s="766" t="s">
        <v>2074</v>
      </c>
      <c r="B247" s="767" t="b">
        <f>AND('Список листов'!B42,'Список листов'!B40)</f>
        <v>1</v>
      </c>
      <c r="C247" s="768" t="e">
        <f>#REF!</f>
        <v>#REF!</v>
      </c>
      <c r="D247" s="768" t="e">
        <f>AVERAGE(#REF!)</f>
        <v>#REF!</v>
      </c>
      <c r="E247" s="766" t="s">
        <v>2662</v>
      </c>
      <c r="F247" s="766" t="s">
        <v>2400</v>
      </c>
      <c r="G247" s="767" t="b">
        <f t="shared" si="7"/>
        <v>0</v>
      </c>
    </row>
    <row r="248" spans="1:7" ht="11.25" customHeight="1">
      <c r="A248" s="766" t="s">
        <v>2075</v>
      </c>
      <c r="B248" s="767" t="b">
        <f>AND('Список листов'!B42,'Список листов'!B40)</f>
        <v>1</v>
      </c>
      <c r="C248" s="768" t="e">
        <f>#REF!</f>
        <v>#REF!</v>
      </c>
      <c r="D248" s="768" t="e">
        <f>AVERAGE(#REF!)</f>
        <v>#REF!</v>
      </c>
      <c r="E248" s="766" t="s">
        <v>2663</v>
      </c>
      <c r="F248" s="766" t="s">
        <v>2400</v>
      </c>
      <c r="G248" s="767" t="b">
        <f t="shared" si="7"/>
        <v>0</v>
      </c>
    </row>
    <row r="249" spans="1:7" ht="11.25" customHeight="1">
      <c r="A249" s="766" t="s">
        <v>2076</v>
      </c>
      <c r="B249" s="767" t="b">
        <f>AND('Список листов'!B42,'Список листов'!B40)</f>
        <v>1</v>
      </c>
      <c r="C249" s="768" t="e">
        <f>#REF!</f>
        <v>#REF!</v>
      </c>
      <c r="D249" s="768" t="e">
        <f>#REF!</f>
        <v>#REF!</v>
      </c>
      <c r="E249" s="766" t="s">
        <v>2664</v>
      </c>
      <c r="F249" s="766" t="s">
        <v>2400</v>
      </c>
      <c r="G249" s="767" t="b">
        <f t="shared" si="7"/>
        <v>0</v>
      </c>
    </row>
    <row r="250" spans="1:7" ht="11.25" customHeight="1">
      <c r="A250" s="766" t="s">
        <v>2079</v>
      </c>
      <c r="B250" s="767" t="b">
        <f>AND('Список листов'!B42,'Список листов'!B40)</f>
        <v>1</v>
      </c>
      <c r="C250" s="768" t="e">
        <f>#REF!</f>
        <v>#REF!</v>
      </c>
      <c r="D250" s="768" t="e">
        <f>#REF!</f>
        <v>#REF!</v>
      </c>
      <c r="E250" s="766" t="s">
        <v>2665</v>
      </c>
      <c r="F250" s="766" t="s">
        <v>2400</v>
      </c>
      <c r="G250" s="767" t="b">
        <f t="shared" si="7"/>
        <v>0</v>
      </c>
    </row>
    <row r="251" spans="1:7" ht="11.25" customHeight="1">
      <c r="A251" s="766" t="s">
        <v>2081</v>
      </c>
      <c r="B251" s="767" t="b">
        <f>AND('Список листов'!B42,'Список листов'!B40)</f>
        <v>1</v>
      </c>
      <c r="C251" s="768" t="e">
        <f>#REF!</f>
        <v>#REF!</v>
      </c>
      <c r="D251" s="768" t="e">
        <f>#REF!</f>
        <v>#REF!</v>
      </c>
      <c r="E251" s="766" t="s">
        <v>2665</v>
      </c>
      <c r="F251" s="766" t="s">
        <v>2400</v>
      </c>
      <c r="G251" s="767" t="b">
        <f t="shared" si="7"/>
        <v>0</v>
      </c>
    </row>
    <row r="252" spans="1:7" ht="11.25" customHeight="1">
      <c r="A252" s="766" t="s">
        <v>2666</v>
      </c>
      <c r="B252" s="767" t="b">
        <f>AND('Список листов'!B42,'Список листов'!B40)</f>
        <v>1</v>
      </c>
      <c r="C252" s="768" t="e">
        <f>#REF!</f>
        <v>#REF!</v>
      </c>
      <c r="D252" s="768" t="e">
        <f>AVERAGE(#REF!)</f>
        <v>#REF!</v>
      </c>
      <c r="E252" s="766" t="s">
        <v>2667</v>
      </c>
      <c r="F252" s="766" t="s">
        <v>2400</v>
      </c>
      <c r="G252" s="767" t="b">
        <f t="shared" si="7"/>
        <v>0</v>
      </c>
    </row>
    <row r="253" spans="1:7" ht="11.25" customHeight="1">
      <c r="A253" s="766" t="s">
        <v>2668</v>
      </c>
      <c r="B253" s="767" t="b">
        <f>AND('Список листов'!B42,'Список листов'!B40)</f>
        <v>1</v>
      </c>
      <c r="C253" s="768" t="e">
        <f>#REF!</f>
        <v>#REF!</v>
      </c>
      <c r="D253" s="768" t="e">
        <f>AVERAGE(#REF!)</f>
        <v>#REF!</v>
      </c>
      <c r="E253" s="766" t="s">
        <v>2663</v>
      </c>
      <c r="F253" s="766" t="s">
        <v>2400</v>
      </c>
      <c r="G253" s="767" t="b">
        <f t="shared" si="7"/>
        <v>0</v>
      </c>
    </row>
    <row r="254" spans="1:7" ht="11.25" customHeight="1">
      <c r="A254" s="766" t="s">
        <v>2669</v>
      </c>
      <c r="B254" s="767" t="b">
        <f>AND('Список листов'!B42,'Список листов'!B40)</f>
        <v>1</v>
      </c>
      <c r="C254" s="768" t="e">
        <f>#REF!</f>
        <v>#REF!</v>
      </c>
      <c r="D254" s="768" t="e">
        <f>#REF!</f>
        <v>#REF!</v>
      </c>
      <c r="E254" s="766" t="s">
        <v>2664</v>
      </c>
      <c r="F254" s="766" t="s">
        <v>2400</v>
      </c>
      <c r="G254" s="767" t="b">
        <f t="shared" si="7"/>
        <v>0</v>
      </c>
    </row>
    <row r="255" spans="1:7" ht="11.25" customHeight="1">
      <c r="A255" s="766" t="s">
        <v>2670</v>
      </c>
      <c r="B255" s="767" t="b">
        <f>AND('Список листов'!$B$42,'Список листов'!$B$43)</f>
        <v>1</v>
      </c>
      <c r="C255" s="768" t="e">
        <f>ROUND(#REF!,2)</f>
        <v>#REF!</v>
      </c>
      <c r="D255" s="768" t="e">
        <f>ROUND(#REF!,2)</f>
        <v>#REF!</v>
      </c>
      <c r="E255" s="766" t="s">
        <v>2671</v>
      </c>
      <c r="F255" s="766" t="s">
        <v>2400</v>
      </c>
      <c r="G255" s="767" t="b">
        <f t="shared" ref="G255:G286" si="8">IFERROR(C255=D255,FALSE)</f>
        <v>0</v>
      </c>
    </row>
    <row r="256" spans="1:7" ht="11.25" customHeight="1">
      <c r="A256" s="766" t="s">
        <v>2672</v>
      </c>
      <c r="B256" s="767" t="b">
        <f>AND('Список листов'!$B$42,'Список листов'!$B$43)</f>
        <v>1</v>
      </c>
      <c r="C256" s="768" t="e">
        <f>ROUND(#REF!,2)</f>
        <v>#REF!</v>
      </c>
      <c r="D256" s="768" t="e">
        <f>ROUND(#REF!,2)</f>
        <v>#REF!</v>
      </c>
      <c r="E256" s="766" t="s">
        <v>2673</v>
      </c>
      <c r="F256" s="766" t="s">
        <v>2400</v>
      </c>
      <c r="G256" s="767" t="b">
        <f t="shared" si="8"/>
        <v>0</v>
      </c>
    </row>
    <row r="257" spans="1:7" ht="11.25" customHeight="1">
      <c r="A257" s="766" t="s">
        <v>2674</v>
      </c>
      <c r="B257" s="767" t="b">
        <f>AND('Список листов'!$B$42,'Список листов'!$B$43)</f>
        <v>1</v>
      </c>
      <c r="C257" s="768" t="e">
        <f>ROUND(#REF!,2)</f>
        <v>#REF!</v>
      </c>
      <c r="D257" s="768" t="e">
        <f>ROUND((#REF!+#REF!),2)</f>
        <v>#REF!</v>
      </c>
      <c r="E257" s="766" t="s">
        <v>2675</v>
      </c>
      <c r="F257" s="766" t="s">
        <v>2400</v>
      </c>
      <c r="G257" s="767" t="b">
        <f t="shared" si="8"/>
        <v>0</v>
      </c>
    </row>
    <row r="258" spans="1:7" ht="11.25" customHeight="1">
      <c r="A258" s="766" t="s">
        <v>2676</v>
      </c>
      <c r="B258" s="767" t="b">
        <f>AND('Список листов'!$B$42,'Список листов'!$B$43)</f>
        <v>1</v>
      </c>
      <c r="C258" s="768" t="e">
        <f>ROUND(#REF!,2)</f>
        <v>#REF!</v>
      </c>
      <c r="D258" s="768" t="e">
        <f>ROUND((#REF!+#REF!),2)</f>
        <v>#REF!</v>
      </c>
      <c r="E258" s="766" t="s">
        <v>2677</v>
      </c>
      <c r="F258" s="766" t="s">
        <v>2400</v>
      </c>
      <c r="G258" s="767" t="b">
        <f t="shared" si="8"/>
        <v>0</v>
      </c>
    </row>
    <row r="259" spans="1:7" ht="11.25" customHeight="1">
      <c r="A259" s="766" t="s">
        <v>2678</v>
      </c>
      <c r="B259" s="767" t="b">
        <f>AND('Список листов'!$B$42,'Список листов'!$B$43)</f>
        <v>1</v>
      </c>
      <c r="C259" s="768" t="e">
        <f>ROUND(#REF!,2)</f>
        <v>#REF!</v>
      </c>
      <c r="D259" s="768" t="e">
        <f>ROUND((#REF!+#REF!),2)</f>
        <v>#REF!</v>
      </c>
      <c r="E259" s="766" t="s">
        <v>2679</v>
      </c>
      <c r="F259" s="766" t="s">
        <v>2400</v>
      </c>
      <c r="G259" s="767" t="b">
        <f t="shared" si="8"/>
        <v>0</v>
      </c>
    </row>
    <row r="260" spans="1:7" ht="11.25" customHeight="1">
      <c r="A260" s="766" t="s">
        <v>2680</v>
      </c>
      <c r="B260" s="767" t="b">
        <f>AND('Список листов'!$B$42,'Список листов'!$B$43)</f>
        <v>1</v>
      </c>
      <c r="C260" s="768" t="e">
        <f>ROUND(#REF!,2)</f>
        <v>#REF!</v>
      </c>
      <c r="D260" s="768" t="e">
        <f>ROUND(#REF!,2)</f>
        <v>#REF!</v>
      </c>
      <c r="E260" s="766" t="s">
        <v>2681</v>
      </c>
      <c r="F260" s="766" t="s">
        <v>2400</v>
      </c>
      <c r="G260" s="767" t="b">
        <f t="shared" si="8"/>
        <v>0</v>
      </c>
    </row>
    <row r="261" spans="1:7" ht="11.25" customHeight="1">
      <c r="A261" s="766" t="s">
        <v>2682</v>
      </c>
      <c r="B261" s="767" t="b">
        <f>AND('Список листов'!$B$42,'Список листов'!$B$43)</f>
        <v>1</v>
      </c>
      <c r="C261" s="768" t="e">
        <f>ROUND(#REF!,2)</f>
        <v>#REF!</v>
      </c>
      <c r="D261" s="768" t="e">
        <f>ROUND(#REF!,2)</f>
        <v>#REF!</v>
      </c>
      <c r="E261" s="766" t="s">
        <v>2683</v>
      </c>
      <c r="F261" s="766" t="s">
        <v>2400</v>
      </c>
      <c r="G261" s="767" t="b">
        <f t="shared" si="8"/>
        <v>0</v>
      </c>
    </row>
    <row r="262" spans="1:7" ht="11.25" customHeight="1">
      <c r="A262" s="766" t="s">
        <v>2684</v>
      </c>
      <c r="B262" s="767" t="b">
        <f>AND('Список листов'!$B$42,'Список листов'!$B$43)</f>
        <v>1</v>
      </c>
      <c r="C262" s="768" t="e">
        <f>ROUND(#REF!,2)</f>
        <v>#REF!</v>
      </c>
      <c r="D262" s="768" t="e">
        <f>ROUND((#REF!+#REF!),2)</f>
        <v>#REF!</v>
      </c>
      <c r="E262" s="766" t="s">
        <v>2685</v>
      </c>
      <c r="F262" s="766" t="s">
        <v>2400</v>
      </c>
      <c r="G262" s="767" t="b">
        <f t="shared" si="8"/>
        <v>0</v>
      </c>
    </row>
    <row r="263" spans="1:7" ht="11.25" customHeight="1">
      <c r="A263" s="766" t="s">
        <v>2686</v>
      </c>
      <c r="B263" s="767" t="b">
        <f>AND('Список листов'!$B$42,'Список листов'!$B$43)</f>
        <v>1</v>
      </c>
      <c r="C263" s="768" t="e">
        <f>ROUND(#REF!,2)</f>
        <v>#REF!</v>
      </c>
      <c r="D263" s="768" t="e">
        <f>ROUND((#REF!+#REF!),2)</f>
        <v>#REF!</v>
      </c>
      <c r="E263" s="766" t="s">
        <v>2687</v>
      </c>
      <c r="F263" s="766" t="s">
        <v>2400</v>
      </c>
      <c r="G263" s="767" t="b">
        <f t="shared" si="8"/>
        <v>0</v>
      </c>
    </row>
    <row r="264" spans="1:7" ht="11.25" customHeight="1">
      <c r="A264" s="766" t="s">
        <v>2688</v>
      </c>
      <c r="B264" s="767" t="b">
        <f>AND('Список листов'!$B$42,'Список листов'!$B$43)</f>
        <v>1</v>
      </c>
      <c r="C264" s="768" t="e">
        <f>ROUND(#REF!,2)</f>
        <v>#REF!</v>
      </c>
      <c r="D264" s="768" t="e">
        <f>ROUND((#REF!+#REF!),2)</f>
        <v>#REF!</v>
      </c>
      <c r="E264" s="766" t="s">
        <v>2689</v>
      </c>
      <c r="F264" s="766" t="s">
        <v>2400</v>
      </c>
      <c r="G264" s="767" t="b">
        <f t="shared" si="8"/>
        <v>0</v>
      </c>
    </row>
    <row r="265" spans="1:7" ht="11.25" customHeight="1">
      <c r="A265" s="766" t="s">
        <v>2690</v>
      </c>
      <c r="B265" s="767" t="b">
        <f>AND('Список листов'!$B$42,'Список листов'!$B$43)</f>
        <v>1</v>
      </c>
      <c r="C265" s="768" t="e">
        <f>ROUND(#REF!,2)</f>
        <v>#REF!</v>
      </c>
      <c r="D265" s="768" t="e">
        <f>ROUND(#REF!,2)</f>
        <v>#REF!</v>
      </c>
      <c r="E265" s="766" t="s">
        <v>2691</v>
      </c>
      <c r="F265" s="766" t="s">
        <v>2400</v>
      </c>
      <c r="G265" s="767" t="b">
        <f t="shared" si="8"/>
        <v>0</v>
      </c>
    </row>
    <row r="266" spans="1:7" ht="11.25" customHeight="1">
      <c r="A266" s="766" t="s">
        <v>2692</v>
      </c>
      <c r="B266" s="767" t="b">
        <f>AND('Список листов'!$B$42,'Список листов'!$B$43)</f>
        <v>1</v>
      </c>
      <c r="C266" s="768" t="e">
        <f>ROUND(#REF!,2)</f>
        <v>#REF!</v>
      </c>
      <c r="D266" s="768" t="e">
        <f>ROUND(#REF!,2)</f>
        <v>#REF!</v>
      </c>
      <c r="E266" s="766" t="s">
        <v>2693</v>
      </c>
      <c r="F266" s="766" t="s">
        <v>2400</v>
      </c>
      <c r="G266" s="767" t="b">
        <f t="shared" si="8"/>
        <v>0</v>
      </c>
    </row>
    <row r="267" spans="1:7" ht="11.25" customHeight="1">
      <c r="A267" s="766" t="s">
        <v>2694</v>
      </c>
      <c r="B267" s="767" t="b">
        <f>AND('Список листов'!$B$42,'Список листов'!$B$43)</f>
        <v>1</v>
      </c>
      <c r="C267" s="768" t="e">
        <f>ROUND(#REF!,2)</f>
        <v>#REF!</v>
      </c>
      <c r="D267" s="768" t="e">
        <f>ROUND((#REF!+#REF!),2)</f>
        <v>#REF!</v>
      </c>
      <c r="E267" s="766" t="s">
        <v>2695</v>
      </c>
      <c r="F267" s="766" t="s">
        <v>2400</v>
      </c>
      <c r="G267" s="767" t="b">
        <f t="shared" si="8"/>
        <v>0</v>
      </c>
    </row>
    <row r="268" spans="1:7" ht="11.25" customHeight="1">
      <c r="A268" s="766" t="s">
        <v>2696</v>
      </c>
      <c r="B268" s="767" t="b">
        <f>AND('Список листов'!$B$42,'Список листов'!$B$43)</f>
        <v>1</v>
      </c>
      <c r="C268" s="768" t="e">
        <f>ROUND(#REF!,2)</f>
        <v>#REF!</v>
      </c>
      <c r="D268" s="768" t="e">
        <f>ROUND((#REF!+#REF!),2)</f>
        <v>#REF!</v>
      </c>
      <c r="E268" s="766" t="s">
        <v>2697</v>
      </c>
      <c r="F268" s="766" t="s">
        <v>2400</v>
      </c>
      <c r="G268" s="767" t="b">
        <f t="shared" si="8"/>
        <v>0</v>
      </c>
    </row>
    <row r="269" spans="1:7" ht="11.25" customHeight="1">
      <c r="A269" s="766" t="s">
        <v>2698</v>
      </c>
      <c r="B269" s="767" t="b">
        <f>AND('Список листов'!$B$42,'Список листов'!$B$43)</f>
        <v>1</v>
      </c>
      <c r="C269" s="768" t="e">
        <f>ROUND(#REF!,2)</f>
        <v>#REF!</v>
      </c>
      <c r="D269" s="768" t="e">
        <f>ROUND((#REF!+#REF!),2)</f>
        <v>#REF!</v>
      </c>
      <c r="E269" s="766" t="s">
        <v>2699</v>
      </c>
      <c r="F269" s="766" t="s">
        <v>2400</v>
      </c>
      <c r="G269" s="767" t="b">
        <f t="shared" si="8"/>
        <v>0</v>
      </c>
    </row>
    <row r="270" spans="1:7" ht="11.25" customHeight="1">
      <c r="A270" s="766" t="s">
        <v>2700</v>
      </c>
      <c r="B270" s="767" t="b">
        <f>AND('Список листов'!$B$42,'Список листов'!$B$43)</f>
        <v>1</v>
      </c>
      <c r="C270" s="768" t="e">
        <f>ROUND(#REF!,2)</f>
        <v>#REF!</v>
      </c>
      <c r="D270" s="768" t="e">
        <f>ROUND(#REF!,2)</f>
        <v>#REF!</v>
      </c>
      <c r="E270" s="766" t="s">
        <v>2671</v>
      </c>
      <c r="F270" s="766" t="s">
        <v>2400</v>
      </c>
      <c r="G270" s="767" t="b">
        <f t="shared" si="8"/>
        <v>0</v>
      </c>
    </row>
    <row r="271" spans="1:7" ht="11.25" customHeight="1">
      <c r="A271" s="766" t="s">
        <v>2701</v>
      </c>
      <c r="B271" s="767" t="b">
        <f>AND('Список листов'!$B$42,'Список листов'!$B$43)</f>
        <v>1</v>
      </c>
      <c r="C271" s="768" t="e">
        <f>ROUND(#REF!,2)</f>
        <v>#REF!</v>
      </c>
      <c r="D271" s="768" t="e">
        <f>ROUND(#REF!,2)</f>
        <v>#REF!</v>
      </c>
      <c r="E271" s="766" t="s">
        <v>2673</v>
      </c>
      <c r="F271" s="766" t="s">
        <v>2400</v>
      </c>
      <c r="G271" s="767" t="b">
        <f t="shared" si="8"/>
        <v>0</v>
      </c>
    </row>
    <row r="272" spans="1:7" ht="11.25" customHeight="1">
      <c r="A272" s="766" t="s">
        <v>2702</v>
      </c>
      <c r="B272" s="767" t="b">
        <f>AND('Список листов'!$B$42,'Список листов'!$B$43)</f>
        <v>1</v>
      </c>
      <c r="C272" s="768" t="e">
        <f>ROUND(#REF!,2)</f>
        <v>#REF!</v>
      </c>
      <c r="D272" s="768" t="e">
        <f>ROUND((#REF!+#REF!),2)</f>
        <v>#REF!</v>
      </c>
      <c r="E272" s="766" t="s">
        <v>2675</v>
      </c>
      <c r="F272" s="766" t="s">
        <v>2400</v>
      </c>
      <c r="G272" s="767" t="b">
        <f t="shared" si="8"/>
        <v>0</v>
      </c>
    </row>
    <row r="273" spans="1:7" ht="11.25" customHeight="1">
      <c r="A273" s="766" t="s">
        <v>2703</v>
      </c>
      <c r="B273" s="767" t="b">
        <f>AND('Список листов'!$B$42,'Список листов'!$B$43)</f>
        <v>1</v>
      </c>
      <c r="C273" s="768" t="e">
        <f>ROUND(#REF!,2)</f>
        <v>#REF!</v>
      </c>
      <c r="D273" s="768" t="e">
        <f>ROUND((#REF!+#REF!),2)</f>
        <v>#REF!</v>
      </c>
      <c r="E273" s="766" t="s">
        <v>2677</v>
      </c>
      <c r="F273" s="766" t="s">
        <v>2400</v>
      </c>
      <c r="G273" s="767" t="b">
        <f t="shared" si="8"/>
        <v>0</v>
      </c>
    </row>
    <row r="274" spans="1:7" ht="11.25" customHeight="1">
      <c r="A274" s="766" t="s">
        <v>2704</v>
      </c>
      <c r="B274" s="767" t="b">
        <f>AND('Список листов'!$B$42,'Список листов'!$B$43)</f>
        <v>1</v>
      </c>
      <c r="C274" s="768" t="e">
        <f>ROUND(#REF!,2)</f>
        <v>#REF!</v>
      </c>
      <c r="D274" s="768" t="e">
        <f>ROUND((#REF!+#REF!),2)</f>
        <v>#REF!</v>
      </c>
      <c r="E274" s="766" t="s">
        <v>2679</v>
      </c>
      <c r="F274" s="766" t="s">
        <v>2400</v>
      </c>
      <c r="G274" s="767" t="b">
        <f t="shared" si="8"/>
        <v>0</v>
      </c>
    </row>
    <row r="275" spans="1:7" ht="11.25" customHeight="1">
      <c r="A275" s="766" t="s">
        <v>2705</v>
      </c>
      <c r="B275" s="767" t="b">
        <f>AND('Список листов'!$B$42,'Список листов'!$B$43)</f>
        <v>1</v>
      </c>
      <c r="C275" s="768" t="e">
        <f>ROUND(#REF!,2)</f>
        <v>#REF!</v>
      </c>
      <c r="D275" s="768" t="e">
        <f>ROUND(#REF!,2)</f>
        <v>#REF!</v>
      </c>
      <c r="E275" s="766" t="s">
        <v>2681</v>
      </c>
      <c r="F275" s="766" t="s">
        <v>2400</v>
      </c>
      <c r="G275" s="767" t="b">
        <f t="shared" si="8"/>
        <v>0</v>
      </c>
    </row>
    <row r="276" spans="1:7" ht="11.25" customHeight="1">
      <c r="A276" s="766" t="s">
        <v>2706</v>
      </c>
      <c r="B276" s="767" t="b">
        <f>AND('Список листов'!$B$42,'Список листов'!$B$43)</f>
        <v>1</v>
      </c>
      <c r="C276" s="768" t="e">
        <f>ROUND(#REF!,2)</f>
        <v>#REF!</v>
      </c>
      <c r="D276" s="768" t="e">
        <f>ROUND(#REF!,2)</f>
        <v>#REF!</v>
      </c>
      <c r="E276" s="766" t="s">
        <v>2683</v>
      </c>
      <c r="F276" s="766" t="s">
        <v>2400</v>
      </c>
      <c r="G276" s="767" t="b">
        <f t="shared" si="8"/>
        <v>0</v>
      </c>
    </row>
    <row r="277" spans="1:7" ht="11.25" customHeight="1">
      <c r="A277" s="766" t="s">
        <v>2707</v>
      </c>
      <c r="B277" s="767" t="b">
        <f>AND('Список листов'!$B$42,'Список листов'!$B$43)</f>
        <v>1</v>
      </c>
      <c r="C277" s="768" t="e">
        <f>ROUND(#REF!,2)</f>
        <v>#REF!</v>
      </c>
      <c r="D277" s="768" t="e">
        <f>ROUND((#REF!+#REF!),2)</f>
        <v>#REF!</v>
      </c>
      <c r="E277" s="766" t="s">
        <v>2685</v>
      </c>
      <c r="F277" s="766" t="s">
        <v>2400</v>
      </c>
      <c r="G277" s="767" t="b">
        <f t="shared" si="8"/>
        <v>0</v>
      </c>
    </row>
    <row r="278" spans="1:7" ht="11.25" customHeight="1">
      <c r="A278" s="766" t="s">
        <v>2708</v>
      </c>
      <c r="B278" s="767" t="b">
        <f>AND('Список листов'!$B$42,'Список листов'!$B$43)</f>
        <v>1</v>
      </c>
      <c r="C278" s="768" t="e">
        <f>ROUND(#REF!,2)</f>
        <v>#REF!</v>
      </c>
      <c r="D278" s="768" t="e">
        <f>ROUND((#REF!+#REF!),2)</f>
        <v>#REF!</v>
      </c>
      <c r="E278" s="766" t="s">
        <v>2687</v>
      </c>
      <c r="F278" s="766" t="s">
        <v>2400</v>
      </c>
      <c r="G278" s="767" t="b">
        <f t="shared" si="8"/>
        <v>0</v>
      </c>
    </row>
    <row r="279" spans="1:7" ht="11.25" customHeight="1">
      <c r="A279" s="766" t="s">
        <v>2709</v>
      </c>
      <c r="B279" s="767" t="b">
        <f>AND('Список листов'!$B$42,'Список листов'!$B$43)</f>
        <v>1</v>
      </c>
      <c r="C279" s="768" t="e">
        <f>ROUND(#REF!,2)</f>
        <v>#REF!</v>
      </c>
      <c r="D279" s="768" t="e">
        <f>ROUND((#REF!+#REF!),2)</f>
        <v>#REF!</v>
      </c>
      <c r="E279" s="766" t="s">
        <v>2689</v>
      </c>
      <c r="F279" s="766" t="s">
        <v>2400</v>
      </c>
      <c r="G279" s="767" t="b">
        <f t="shared" si="8"/>
        <v>0</v>
      </c>
    </row>
    <row r="280" spans="1:7" ht="11.25" customHeight="1">
      <c r="A280" s="766" t="s">
        <v>2710</v>
      </c>
      <c r="B280" s="767" t="b">
        <f>AND('Список листов'!$B$42,'Список листов'!$B$43)</f>
        <v>1</v>
      </c>
      <c r="C280" s="768" t="e">
        <f>ROUND(#REF!,2)</f>
        <v>#REF!</v>
      </c>
      <c r="D280" s="768" t="e">
        <f>ROUND(#REF!,2)</f>
        <v>#REF!</v>
      </c>
      <c r="E280" s="766" t="s">
        <v>2691</v>
      </c>
      <c r="F280" s="766" t="s">
        <v>2400</v>
      </c>
      <c r="G280" s="767" t="b">
        <f t="shared" si="8"/>
        <v>0</v>
      </c>
    </row>
    <row r="281" spans="1:7" ht="11.25" customHeight="1">
      <c r="A281" s="766" t="s">
        <v>2711</v>
      </c>
      <c r="B281" s="767" t="b">
        <f>AND('Список листов'!$B$42,'Список листов'!$B$43)</f>
        <v>1</v>
      </c>
      <c r="C281" s="768" t="e">
        <f>ROUND(#REF!,2)</f>
        <v>#REF!</v>
      </c>
      <c r="D281" s="768" t="e">
        <f>ROUND(#REF!,2)</f>
        <v>#REF!</v>
      </c>
      <c r="E281" s="766" t="s">
        <v>2693</v>
      </c>
      <c r="F281" s="766" t="s">
        <v>2400</v>
      </c>
      <c r="G281" s="767" t="b">
        <f t="shared" si="8"/>
        <v>0</v>
      </c>
    </row>
    <row r="282" spans="1:7" ht="11.25" customHeight="1">
      <c r="A282" s="766" t="s">
        <v>2712</v>
      </c>
      <c r="B282" s="767" t="b">
        <f>AND('Список листов'!$B$42,'Список листов'!$B$43)</f>
        <v>1</v>
      </c>
      <c r="C282" s="768" t="e">
        <f>ROUND(#REF!,2)</f>
        <v>#REF!</v>
      </c>
      <c r="D282" s="768" t="e">
        <f>ROUND((#REF!+#REF!),2)</f>
        <v>#REF!</v>
      </c>
      <c r="E282" s="766" t="s">
        <v>2695</v>
      </c>
      <c r="F282" s="766" t="s">
        <v>2400</v>
      </c>
      <c r="G282" s="767" t="b">
        <f t="shared" si="8"/>
        <v>0</v>
      </c>
    </row>
    <row r="283" spans="1:7" ht="11.25" customHeight="1">
      <c r="A283" s="766" t="s">
        <v>2713</v>
      </c>
      <c r="B283" s="767" t="b">
        <f>AND('Список листов'!$B$42,'Список листов'!$B$43)</f>
        <v>1</v>
      </c>
      <c r="C283" s="768" t="e">
        <f>ROUND(#REF!,2)</f>
        <v>#REF!</v>
      </c>
      <c r="D283" s="768" t="e">
        <f>ROUND((#REF!+#REF!),2)</f>
        <v>#REF!</v>
      </c>
      <c r="E283" s="766" t="s">
        <v>2697</v>
      </c>
      <c r="F283" s="766" t="s">
        <v>2400</v>
      </c>
      <c r="G283" s="767" t="b">
        <f t="shared" si="8"/>
        <v>0</v>
      </c>
    </row>
    <row r="284" spans="1:7" ht="11.25" customHeight="1">
      <c r="A284" s="766" t="s">
        <v>2714</v>
      </c>
      <c r="B284" s="767" t="b">
        <f>AND('Список листов'!$B$42,'Список листов'!$B$43)</f>
        <v>1</v>
      </c>
      <c r="C284" s="768" t="e">
        <f>ROUND(#REF!,2)</f>
        <v>#REF!</v>
      </c>
      <c r="D284" s="768" t="e">
        <f>ROUND((#REF!+#REF!),2)</f>
        <v>#REF!</v>
      </c>
      <c r="E284" s="766" t="s">
        <v>2699</v>
      </c>
      <c r="F284" s="766" t="s">
        <v>2400</v>
      </c>
      <c r="G284" s="767" t="b">
        <f t="shared" si="8"/>
        <v>0</v>
      </c>
    </row>
    <row r="285" spans="1:7" ht="11.25" customHeight="1">
      <c r="A285" s="766" t="s">
        <v>2715</v>
      </c>
      <c r="B285" s="767" t="b">
        <f>AND('Список листов'!$B$42,'Список листов'!$B$43)</f>
        <v>1</v>
      </c>
      <c r="C285" s="768" t="e">
        <f>ROUND(#REF!,2)</f>
        <v>#REF!</v>
      </c>
      <c r="D285" s="768" t="e">
        <f>ROUND(#REF!,2)</f>
        <v>#REF!</v>
      </c>
      <c r="E285" s="766" t="s">
        <v>2673</v>
      </c>
      <c r="F285" s="766" t="s">
        <v>2400</v>
      </c>
      <c r="G285" s="767" t="b">
        <f t="shared" si="8"/>
        <v>0</v>
      </c>
    </row>
    <row r="286" spans="1:7" ht="11.25" customHeight="1">
      <c r="A286" s="766" t="s">
        <v>2716</v>
      </c>
      <c r="B286" s="767" t="b">
        <f>AND('Список листов'!$B$42,'Список листов'!$B$43)</f>
        <v>1</v>
      </c>
      <c r="C286" s="768" t="e">
        <f>ROUND(#REF!,2)</f>
        <v>#REF!</v>
      </c>
      <c r="D286" s="768" t="e">
        <f>ROUND((#REF!+#REF!),2)</f>
        <v>#REF!</v>
      </c>
      <c r="E286" s="766" t="s">
        <v>2675</v>
      </c>
      <c r="F286" s="766" t="s">
        <v>2400</v>
      </c>
      <c r="G286" s="767" t="b">
        <f t="shared" si="8"/>
        <v>0</v>
      </c>
    </row>
    <row r="287" spans="1:7" ht="11.25" customHeight="1">
      <c r="A287" s="766" t="s">
        <v>2717</v>
      </c>
      <c r="B287" s="767" t="b">
        <f>AND('Список листов'!$B$42,'Список листов'!$B$43)</f>
        <v>1</v>
      </c>
      <c r="C287" s="768" t="e">
        <f>ROUND(#REF!,2)</f>
        <v>#REF!</v>
      </c>
      <c r="D287" s="768" t="e">
        <f>ROUND((#REF!+#REF!),2)</f>
        <v>#REF!</v>
      </c>
      <c r="E287" s="766" t="s">
        <v>2677</v>
      </c>
      <c r="F287" s="766" t="s">
        <v>2400</v>
      </c>
      <c r="G287" s="767" t="b">
        <f t="shared" ref="G287:G318" si="9">IFERROR(C287=D287,FALSE)</f>
        <v>0</v>
      </c>
    </row>
    <row r="288" spans="1:7" ht="11.25" customHeight="1">
      <c r="A288" s="766" t="s">
        <v>2718</v>
      </c>
      <c r="B288" s="767" t="b">
        <f>AND('Список листов'!$B$42,'Список листов'!$B$43)</f>
        <v>1</v>
      </c>
      <c r="C288" s="768" t="e">
        <f>ROUND(#REF!,2)</f>
        <v>#REF!</v>
      </c>
      <c r="D288" s="768" t="e">
        <f>ROUND((#REF!+#REF!),2)</f>
        <v>#REF!</v>
      </c>
      <c r="E288" s="766" t="s">
        <v>2679</v>
      </c>
      <c r="F288" s="766" t="s">
        <v>2400</v>
      </c>
      <c r="G288" s="767" t="b">
        <f t="shared" si="9"/>
        <v>0</v>
      </c>
    </row>
    <row r="289" spans="1:7" ht="11.25" customHeight="1">
      <c r="A289" s="766" t="s">
        <v>2719</v>
      </c>
      <c r="B289" s="767" t="b">
        <f>AND('Список листов'!$B$42,'Список листов'!$B$43)</f>
        <v>1</v>
      </c>
      <c r="C289" s="768" t="e">
        <f>ROUND(#REF!,2)</f>
        <v>#REF!</v>
      </c>
      <c r="D289" s="768" t="e">
        <f>ROUND(#REF!,2)</f>
        <v>#REF!</v>
      </c>
      <c r="E289" s="766" t="s">
        <v>2681</v>
      </c>
      <c r="F289" s="766" t="s">
        <v>2400</v>
      </c>
      <c r="G289" s="767" t="b">
        <f t="shared" si="9"/>
        <v>0</v>
      </c>
    </row>
    <row r="290" spans="1:7" ht="11.25" customHeight="1">
      <c r="A290" s="766" t="s">
        <v>2720</v>
      </c>
      <c r="B290" s="767" t="b">
        <f>AND('Список листов'!$B$42,'Список листов'!$B$43)</f>
        <v>1</v>
      </c>
      <c r="C290" s="768" t="e">
        <f>ROUND(#REF!,2)</f>
        <v>#REF!</v>
      </c>
      <c r="D290" s="768" t="e">
        <f>ROUND(#REF!,2)</f>
        <v>#REF!</v>
      </c>
      <c r="E290" s="766" t="s">
        <v>2683</v>
      </c>
      <c r="F290" s="766" t="s">
        <v>2400</v>
      </c>
      <c r="G290" s="767" t="b">
        <f t="shared" si="9"/>
        <v>0</v>
      </c>
    </row>
    <row r="291" spans="1:7" ht="11.25" customHeight="1">
      <c r="A291" s="766" t="s">
        <v>2721</v>
      </c>
      <c r="B291" s="767" t="b">
        <f>AND('Список листов'!$B$42,'Список листов'!$B$43)</f>
        <v>1</v>
      </c>
      <c r="C291" s="768" t="e">
        <f>ROUND(#REF!,2)</f>
        <v>#REF!</v>
      </c>
      <c r="D291" s="768" t="e">
        <f>ROUND((#REF!+#REF!),2)</f>
        <v>#REF!</v>
      </c>
      <c r="E291" s="766" t="s">
        <v>2685</v>
      </c>
      <c r="F291" s="766" t="s">
        <v>2400</v>
      </c>
      <c r="G291" s="767" t="b">
        <f t="shared" si="9"/>
        <v>0</v>
      </c>
    </row>
    <row r="292" spans="1:7" ht="11.25" customHeight="1">
      <c r="A292" s="766" t="s">
        <v>2722</v>
      </c>
      <c r="B292" s="767" t="b">
        <f>AND('Список листов'!$B$42,'Список листов'!$B$43)</f>
        <v>1</v>
      </c>
      <c r="C292" s="768" t="e">
        <f>ROUND(#REF!,2)</f>
        <v>#REF!</v>
      </c>
      <c r="D292" s="768" t="e">
        <f>ROUND((#REF!+#REF!),2)</f>
        <v>#REF!</v>
      </c>
      <c r="E292" s="766" t="s">
        <v>2687</v>
      </c>
      <c r="F292" s="766" t="s">
        <v>2400</v>
      </c>
      <c r="G292" s="767" t="b">
        <f t="shared" si="9"/>
        <v>0</v>
      </c>
    </row>
    <row r="293" spans="1:7" ht="11.25" customHeight="1">
      <c r="A293" s="766" t="s">
        <v>2723</v>
      </c>
      <c r="B293" s="767" t="b">
        <f>AND('Список листов'!$B$42,'Список листов'!$B$43)</f>
        <v>1</v>
      </c>
      <c r="C293" s="768" t="e">
        <f>ROUND(#REF!,2)</f>
        <v>#REF!</v>
      </c>
      <c r="D293" s="768" t="e">
        <f>ROUND((#REF!+#REF!),2)</f>
        <v>#REF!</v>
      </c>
      <c r="E293" s="766" t="s">
        <v>2689</v>
      </c>
      <c r="F293" s="766" t="s">
        <v>2400</v>
      </c>
      <c r="G293" s="767" t="b">
        <f t="shared" si="9"/>
        <v>0</v>
      </c>
    </row>
    <row r="294" spans="1:7" ht="11.25" customHeight="1">
      <c r="A294" s="766" t="s">
        <v>2724</v>
      </c>
      <c r="B294" s="767" t="b">
        <f>AND('Список листов'!$B$42,'Список листов'!$B$43)</f>
        <v>1</v>
      </c>
      <c r="C294" s="768" t="e">
        <f>ROUND(#REF!,2)</f>
        <v>#REF!</v>
      </c>
      <c r="D294" s="768" t="e">
        <f>ROUND(#REF!,2)</f>
        <v>#REF!</v>
      </c>
      <c r="E294" s="766" t="s">
        <v>2691</v>
      </c>
      <c r="F294" s="766" t="s">
        <v>2400</v>
      </c>
      <c r="G294" s="767" t="b">
        <f t="shared" si="9"/>
        <v>0</v>
      </c>
    </row>
    <row r="295" spans="1:7" ht="11.25" customHeight="1">
      <c r="A295" s="766" t="s">
        <v>2725</v>
      </c>
      <c r="B295" s="767" t="b">
        <f>AND('Список листов'!$B$42,'Список листов'!$B$43)</f>
        <v>1</v>
      </c>
      <c r="C295" s="768" t="e">
        <f>ROUND(#REF!,2)</f>
        <v>#REF!</v>
      </c>
      <c r="D295" s="768" t="e">
        <f>ROUND(#REF!,2)</f>
        <v>#REF!</v>
      </c>
      <c r="E295" s="766" t="s">
        <v>2693</v>
      </c>
      <c r="F295" s="766" t="s">
        <v>2400</v>
      </c>
      <c r="G295" s="767" t="b">
        <f t="shared" si="9"/>
        <v>0</v>
      </c>
    </row>
    <row r="296" spans="1:7" ht="11.25" customHeight="1">
      <c r="A296" s="766" t="s">
        <v>2726</v>
      </c>
      <c r="B296" s="767" t="b">
        <f>AND('Список листов'!$B$42,'Список листов'!$B$43)</f>
        <v>1</v>
      </c>
      <c r="C296" s="768" t="e">
        <f>ROUND(#REF!,2)</f>
        <v>#REF!</v>
      </c>
      <c r="D296" s="768" t="e">
        <f>ROUND((#REF!+#REF!),2)</f>
        <v>#REF!</v>
      </c>
      <c r="E296" s="766" t="s">
        <v>2695</v>
      </c>
      <c r="F296" s="766" t="s">
        <v>2400</v>
      </c>
      <c r="G296" s="767" t="b">
        <f t="shared" si="9"/>
        <v>0</v>
      </c>
    </row>
    <row r="297" spans="1:7" ht="11.25" customHeight="1">
      <c r="A297" s="766" t="s">
        <v>2727</v>
      </c>
      <c r="B297" s="767" t="b">
        <f>AND('Список листов'!$B$42,'Список листов'!$B$43)</f>
        <v>1</v>
      </c>
      <c r="C297" s="768" t="e">
        <f>ROUND(#REF!,2)</f>
        <v>#REF!</v>
      </c>
      <c r="D297" s="768" t="e">
        <f>ROUND((#REF!+#REF!),2)</f>
        <v>#REF!</v>
      </c>
      <c r="E297" s="766" t="s">
        <v>2697</v>
      </c>
      <c r="F297" s="766" t="s">
        <v>2400</v>
      </c>
      <c r="G297" s="767" t="b">
        <f t="shared" si="9"/>
        <v>0</v>
      </c>
    </row>
    <row r="298" spans="1:7" ht="11.25" customHeight="1">
      <c r="A298" s="766" t="s">
        <v>2728</v>
      </c>
      <c r="B298" s="767" t="b">
        <f>AND('Список листов'!$B$42,'Список листов'!$B$43)</f>
        <v>1</v>
      </c>
      <c r="C298" s="768" t="e">
        <f>ROUND(#REF!,2)</f>
        <v>#REF!</v>
      </c>
      <c r="D298" s="768" t="e">
        <f>ROUND((#REF!+#REF!),2)</f>
        <v>#REF!</v>
      </c>
      <c r="E298" s="766" t="s">
        <v>2699</v>
      </c>
      <c r="F298" s="766" t="s">
        <v>2400</v>
      </c>
      <c r="G298" s="767" t="b">
        <f t="shared" si="9"/>
        <v>0</v>
      </c>
    </row>
    <row r="299" spans="1:7" ht="11.25" customHeight="1">
      <c r="A299" s="766" t="s">
        <v>2729</v>
      </c>
      <c r="B299" s="767" t="b">
        <f>AND('Список листов'!$B$42,'Список листов'!$B$43)</f>
        <v>1</v>
      </c>
      <c r="C299" s="768" t="e">
        <f>ROUND(#REF!,2)</f>
        <v>#REF!</v>
      </c>
      <c r="D299" s="768" t="e">
        <f>ROUND(#REF!,2)</f>
        <v>#REF!</v>
      </c>
      <c r="E299" s="766" t="s">
        <v>2671</v>
      </c>
      <c r="F299" s="766" t="s">
        <v>2400</v>
      </c>
      <c r="G299" s="767" t="b">
        <f t="shared" si="9"/>
        <v>0</v>
      </c>
    </row>
    <row r="300" spans="1:7" ht="11.25" customHeight="1">
      <c r="A300" s="766" t="s">
        <v>2730</v>
      </c>
      <c r="B300" s="767" t="b">
        <f>AND('Список листов'!$B$42,'Список листов'!$B$43)</f>
        <v>1</v>
      </c>
      <c r="C300" s="768" t="e">
        <f>ROUND(#REF!,2)</f>
        <v>#REF!</v>
      </c>
      <c r="D300" s="768" t="e">
        <f>ROUND(#REF!,2)</f>
        <v>#REF!</v>
      </c>
      <c r="E300" s="766" t="s">
        <v>2673</v>
      </c>
      <c r="F300" s="766" t="s">
        <v>2400</v>
      </c>
      <c r="G300" s="767" t="b">
        <f t="shared" si="9"/>
        <v>0</v>
      </c>
    </row>
    <row r="301" spans="1:7" ht="11.25" customHeight="1">
      <c r="A301" s="766" t="s">
        <v>2731</v>
      </c>
      <c r="B301" s="767" t="b">
        <f>AND('Список листов'!$B$42,'Список листов'!$B$43)</f>
        <v>1</v>
      </c>
      <c r="C301" s="768" t="e">
        <f>ROUND(#REF!,2)</f>
        <v>#REF!</v>
      </c>
      <c r="D301" s="768" t="e">
        <f>ROUND((#REF!+#REF!),2)</f>
        <v>#REF!</v>
      </c>
      <c r="E301" s="766" t="s">
        <v>2675</v>
      </c>
      <c r="F301" s="766" t="s">
        <v>2400</v>
      </c>
      <c r="G301" s="767" t="b">
        <f t="shared" si="9"/>
        <v>0</v>
      </c>
    </row>
    <row r="302" spans="1:7" ht="11.25" customHeight="1">
      <c r="A302" s="766" t="s">
        <v>2732</v>
      </c>
      <c r="B302" s="767" t="b">
        <f>AND('Список листов'!$B$42,'Список листов'!$B$43)</f>
        <v>1</v>
      </c>
      <c r="C302" s="768" t="e">
        <f>ROUND(#REF!,2)</f>
        <v>#REF!</v>
      </c>
      <c r="D302" s="768" t="e">
        <f>ROUND((#REF!+#REF!),2)</f>
        <v>#REF!</v>
      </c>
      <c r="E302" s="766" t="s">
        <v>2677</v>
      </c>
      <c r="F302" s="766" t="s">
        <v>2400</v>
      </c>
      <c r="G302" s="767" t="b">
        <f t="shared" si="9"/>
        <v>0</v>
      </c>
    </row>
    <row r="303" spans="1:7" ht="11.25" customHeight="1">
      <c r="A303" s="766" t="s">
        <v>2733</v>
      </c>
      <c r="B303" s="767" t="b">
        <f>AND('Список листов'!$B$42,'Список листов'!$B$43)</f>
        <v>1</v>
      </c>
      <c r="C303" s="768" t="e">
        <f>ROUND(#REF!,2)</f>
        <v>#REF!</v>
      </c>
      <c r="D303" s="768" t="e">
        <f>ROUND((#REF!+#REF!),2)</f>
        <v>#REF!</v>
      </c>
      <c r="E303" s="766" t="s">
        <v>2679</v>
      </c>
      <c r="F303" s="766" t="s">
        <v>2400</v>
      </c>
      <c r="G303" s="767" t="b">
        <f t="shared" si="9"/>
        <v>0</v>
      </c>
    </row>
    <row r="304" spans="1:7" ht="11.25" customHeight="1">
      <c r="A304" s="766" t="s">
        <v>2734</v>
      </c>
      <c r="B304" s="767" t="b">
        <f>AND('Список листов'!$B$42,'Список листов'!$B$43)</f>
        <v>1</v>
      </c>
      <c r="C304" s="768" t="e">
        <f>ROUND(#REF!,2)</f>
        <v>#REF!</v>
      </c>
      <c r="D304" s="768" t="e">
        <f>ROUND(#REF!,2)</f>
        <v>#REF!</v>
      </c>
      <c r="E304" s="766" t="s">
        <v>2681</v>
      </c>
      <c r="F304" s="766" t="s">
        <v>2400</v>
      </c>
      <c r="G304" s="767" t="b">
        <f t="shared" si="9"/>
        <v>0</v>
      </c>
    </row>
    <row r="305" spans="1:7" ht="11.25" customHeight="1">
      <c r="A305" s="766" t="s">
        <v>2735</v>
      </c>
      <c r="B305" s="767" t="b">
        <f>AND('Список листов'!$B$42,'Список листов'!$B$43)</f>
        <v>1</v>
      </c>
      <c r="C305" s="768" t="e">
        <f>ROUND(#REF!,2)</f>
        <v>#REF!</v>
      </c>
      <c r="D305" s="768" t="e">
        <f>ROUND(#REF!,2)</f>
        <v>#REF!</v>
      </c>
      <c r="E305" s="766" t="s">
        <v>2683</v>
      </c>
      <c r="F305" s="766" t="s">
        <v>2400</v>
      </c>
      <c r="G305" s="767" t="b">
        <f t="shared" si="9"/>
        <v>0</v>
      </c>
    </row>
    <row r="306" spans="1:7" ht="11.25" customHeight="1">
      <c r="A306" s="766" t="s">
        <v>2736</v>
      </c>
      <c r="B306" s="767" t="b">
        <f>AND('Список листов'!$B$42,'Список листов'!$B$43)</f>
        <v>1</v>
      </c>
      <c r="C306" s="768" t="e">
        <f>ROUND(#REF!,2)</f>
        <v>#REF!</v>
      </c>
      <c r="D306" s="768" t="e">
        <f>ROUND((#REF!+#REF!),2)</f>
        <v>#REF!</v>
      </c>
      <c r="E306" s="766" t="s">
        <v>2685</v>
      </c>
      <c r="F306" s="766" t="s">
        <v>2400</v>
      </c>
      <c r="G306" s="767" t="b">
        <f t="shared" si="9"/>
        <v>0</v>
      </c>
    </row>
    <row r="307" spans="1:7" ht="11.25" customHeight="1">
      <c r="A307" s="766" t="s">
        <v>2737</v>
      </c>
      <c r="B307" s="767" t="b">
        <f>AND('Список листов'!$B$42,'Список листов'!$B$43)</f>
        <v>1</v>
      </c>
      <c r="C307" s="768" t="e">
        <f>ROUND(#REF!,2)</f>
        <v>#REF!</v>
      </c>
      <c r="D307" s="768" t="e">
        <f>ROUND((#REF!+#REF!),2)</f>
        <v>#REF!</v>
      </c>
      <c r="E307" s="766" t="s">
        <v>2687</v>
      </c>
      <c r="F307" s="766" t="s">
        <v>2400</v>
      </c>
      <c r="G307" s="767" t="b">
        <f t="shared" si="9"/>
        <v>0</v>
      </c>
    </row>
    <row r="308" spans="1:7" ht="11.25" customHeight="1">
      <c r="A308" s="766" t="s">
        <v>2738</v>
      </c>
      <c r="B308" s="767" t="b">
        <f>AND('Список листов'!$B$42,'Список листов'!$B$43)</f>
        <v>1</v>
      </c>
      <c r="C308" s="768" t="e">
        <f>ROUND(#REF!,2)</f>
        <v>#REF!</v>
      </c>
      <c r="D308" s="768" t="e">
        <f>ROUND((#REF!+#REF!),2)</f>
        <v>#REF!</v>
      </c>
      <c r="E308" s="766" t="s">
        <v>2689</v>
      </c>
      <c r="F308" s="766" t="s">
        <v>2400</v>
      </c>
      <c r="G308" s="767" t="b">
        <f t="shared" si="9"/>
        <v>0</v>
      </c>
    </row>
    <row r="309" spans="1:7" ht="11.25" customHeight="1">
      <c r="A309" s="766" t="s">
        <v>2739</v>
      </c>
      <c r="B309" s="767" t="b">
        <f>AND('Список листов'!$B$42,'Список листов'!$B$43)</f>
        <v>1</v>
      </c>
      <c r="C309" s="768" t="e">
        <f>ROUND(#REF!,2)</f>
        <v>#REF!</v>
      </c>
      <c r="D309" s="768" t="e">
        <f>ROUND(#REF!,2)</f>
        <v>#REF!</v>
      </c>
      <c r="E309" s="766" t="s">
        <v>2691</v>
      </c>
      <c r="F309" s="766" t="s">
        <v>2400</v>
      </c>
      <c r="G309" s="767" t="b">
        <f t="shared" si="9"/>
        <v>0</v>
      </c>
    </row>
    <row r="310" spans="1:7" ht="11.25" customHeight="1">
      <c r="A310" s="766" t="s">
        <v>2740</v>
      </c>
      <c r="B310" s="767" t="b">
        <f>AND('Список листов'!$B$42,'Список листов'!$B$43)</f>
        <v>1</v>
      </c>
      <c r="C310" s="768" t="e">
        <f>ROUND(#REF!,2)</f>
        <v>#REF!</v>
      </c>
      <c r="D310" s="768" t="e">
        <f>ROUND(#REF!,2)</f>
        <v>#REF!</v>
      </c>
      <c r="E310" s="766" t="s">
        <v>2693</v>
      </c>
      <c r="F310" s="766" t="s">
        <v>2400</v>
      </c>
      <c r="G310" s="767" t="b">
        <f t="shared" si="9"/>
        <v>0</v>
      </c>
    </row>
    <row r="311" spans="1:7" ht="11.25" customHeight="1">
      <c r="A311" s="766" t="s">
        <v>2741</v>
      </c>
      <c r="B311" s="767" t="b">
        <f>AND('Список листов'!$B$42,'Список листов'!$B$43)</f>
        <v>1</v>
      </c>
      <c r="C311" s="768" t="e">
        <f>ROUND(#REF!,2)</f>
        <v>#REF!</v>
      </c>
      <c r="D311" s="768" t="e">
        <f>ROUND((#REF!+#REF!),2)</f>
        <v>#REF!</v>
      </c>
      <c r="E311" s="766" t="s">
        <v>2695</v>
      </c>
      <c r="F311" s="766" t="s">
        <v>2400</v>
      </c>
      <c r="G311" s="767" t="b">
        <f t="shared" si="9"/>
        <v>0</v>
      </c>
    </row>
    <row r="312" spans="1:7" ht="11.25" customHeight="1">
      <c r="A312" s="766" t="s">
        <v>2742</v>
      </c>
      <c r="B312" s="767" t="b">
        <f>AND('Список листов'!$B$42,'Список листов'!$B$43)</f>
        <v>1</v>
      </c>
      <c r="C312" s="768" t="e">
        <f>ROUND(#REF!,2)</f>
        <v>#REF!</v>
      </c>
      <c r="D312" s="768" t="e">
        <f>ROUND((#REF!+#REF!),2)</f>
        <v>#REF!</v>
      </c>
      <c r="E312" s="766" t="s">
        <v>2697</v>
      </c>
      <c r="F312" s="766" t="s">
        <v>2400</v>
      </c>
      <c r="G312" s="767" t="b">
        <f t="shared" si="9"/>
        <v>0</v>
      </c>
    </row>
    <row r="313" spans="1:7" ht="11.25" customHeight="1">
      <c r="A313" s="766" t="s">
        <v>2743</v>
      </c>
      <c r="B313" s="767" t="b">
        <f>AND('Список листов'!$B$42,'Список листов'!$B$43)</f>
        <v>1</v>
      </c>
      <c r="C313" s="768" t="e">
        <f>ROUND(#REF!,2)</f>
        <v>#REF!</v>
      </c>
      <c r="D313" s="768" t="e">
        <f>ROUND((#REF!+#REF!),2)</f>
        <v>#REF!</v>
      </c>
      <c r="E313" s="766" t="s">
        <v>2699</v>
      </c>
      <c r="F313" s="766" t="s">
        <v>2400</v>
      </c>
      <c r="G313" s="767" t="b">
        <f t="shared" si="9"/>
        <v>0</v>
      </c>
    </row>
    <row r="314" spans="1:7" ht="11.25" customHeight="1">
      <c r="A314" s="766" t="s">
        <v>2744</v>
      </c>
      <c r="B314" s="767" t="b">
        <f>AND('Список листов'!$B$42,'Список листов'!$B$43)</f>
        <v>1</v>
      </c>
      <c r="C314" s="768" t="e">
        <f>ROUND(#REF!,2)</f>
        <v>#REF!</v>
      </c>
      <c r="D314" s="768" t="e">
        <f>ROUND(#REF!,2)</f>
        <v>#REF!</v>
      </c>
      <c r="E314" s="766" t="s">
        <v>2745</v>
      </c>
      <c r="F314" s="766" t="s">
        <v>2400</v>
      </c>
      <c r="G314" s="767" t="b">
        <f t="shared" si="9"/>
        <v>0</v>
      </c>
    </row>
    <row r="315" spans="1:7" ht="11.25" customHeight="1">
      <c r="A315" s="766" t="s">
        <v>2746</v>
      </c>
      <c r="B315" s="767" t="b">
        <f>AND('Список листов'!$B$42,'Список листов'!$B$43)</f>
        <v>1</v>
      </c>
      <c r="C315" s="768" t="e">
        <f>ROUND(#REF!,2)</f>
        <v>#REF!</v>
      </c>
      <c r="D315" s="768" t="e">
        <f>ROUND(#REF!,2)</f>
        <v>#REF!</v>
      </c>
      <c r="E315" s="766" t="s">
        <v>2747</v>
      </c>
      <c r="F315" s="766" t="s">
        <v>2400</v>
      </c>
      <c r="G315" s="767" t="b">
        <f t="shared" si="9"/>
        <v>0</v>
      </c>
    </row>
    <row r="316" spans="1:7" ht="11.25" customHeight="1">
      <c r="A316" s="766" t="s">
        <v>2748</v>
      </c>
      <c r="B316" s="767" t="b">
        <f>AND('Список листов'!$B$42,'Список листов'!$B$43)</f>
        <v>1</v>
      </c>
      <c r="C316" s="768" t="e">
        <f>ROUND(#REF!,2)</f>
        <v>#REF!</v>
      </c>
      <c r="D316" s="768" t="e">
        <f>ROUND(#REF!,2)</f>
        <v>#REF!</v>
      </c>
      <c r="E316" s="766" t="s">
        <v>2749</v>
      </c>
      <c r="F316" s="766" t="s">
        <v>2400</v>
      </c>
      <c r="G316" s="767" t="b">
        <f t="shared" si="9"/>
        <v>0</v>
      </c>
    </row>
    <row r="317" spans="1:7" ht="11.25" customHeight="1">
      <c r="A317" s="766" t="s">
        <v>2750</v>
      </c>
      <c r="B317" s="767" t="b">
        <f>AND('Список листов'!$B$42,'Список листов'!$B$43)</f>
        <v>1</v>
      </c>
      <c r="C317" s="768" t="e">
        <f>ROUND(#REF!,2)</f>
        <v>#REF!</v>
      </c>
      <c r="D317" s="768" t="e">
        <f>ROUND(#REF!,2)</f>
        <v>#REF!</v>
      </c>
      <c r="E317" s="766" t="s">
        <v>2751</v>
      </c>
      <c r="F317" s="766" t="s">
        <v>2400</v>
      </c>
      <c r="G317" s="767" t="b">
        <f t="shared" si="9"/>
        <v>0</v>
      </c>
    </row>
    <row r="318" spans="1:7" ht="11.25" customHeight="1">
      <c r="A318" s="766" t="s">
        <v>2752</v>
      </c>
      <c r="B318" s="767" t="b">
        <f>AND('Список листов'!$B$42,'Список листов'!$B$43)</f>
        <v>1</v>
      </c>
      <c r="C318" s="768" t="e">
        <f>ROUND(#REF!,2)</f>
        <v>#REF!</v>
      </c>
      <c r="D318" s="768" t="e">
        <f>ROUND(#REF!,2)</f>
        <v>#REF!</v>
      </c>
      <c r="E318" s="766" t="s">
        <v>2753</v>
      </c>
      <c r="F318" s="766" t="s">
        <v>2400</v>
      </c>
      <c r="G318" s="767" t="b">
        <f t="shared" si="9"/>
        <v>0</v>
      </c>
    </row>
    <row r="319" spans="1:7" ht="11.25" customHeight="1">
      <c r="A319" s="766" t="s">
        <v>2754</v>
      </c>
      <c r="B319" s="767" t="b">
        <f>AND('Список листов'!$B$42,'Список листов'!$B$43)</f>
        <v>1</v>
      </c>
      <c r="C319" s="768" t="e">
        <f>ROUND(#REF!,2)</f>
        <v>#REF!</v>
      </c>
      <c r="D319" s="768" t="e">
        <f>ROUND(#REF!,2)</f>
        <v>#REF!</v>
      </c>
      <c r="E319" s="766" t="s">
        <v>2755</v>
      </c>
      <c r="F319" s="766" t="s">
        <v>2400</v>
      </c>
      <c r="G319" s="767" t="b">
        <f t="shared" ref="G319:G350" si="10">IFERROR(C319=D319,FALSE)</f>
        <v>0</v>
      </c>
    </row>
    <row r="320" spans="1:7" ht="11.25" customHeight="1">
      <c r="A320" s="766" t="s">
        <v>2756</v>
      </c>
      <c r="B320" s="767" t="b">
        <f>AND('Список листов'!$B$42,'Список листов'!$B$43)</f>
        <v>1</v>
      </c>
      <c r="C320" s="768" t="e">
        <f>ROUND(#REF!,2)</f>
        <v>#REF!</v>
      </c>
      <c r="D320" s="768" t="e">
        <f>ROUND(#REF!,2)</f>
        <v>#REF!</v>
      </c>
      <c r="E320" s="766" t="s">
        <v>2757</v>
      </c>
      <c r="F320" s="766" t="s">
        <v>2400</v>
      </c>
      <c r="G320" s="767" t="b">
        <f t="shared" si="10"/>
        <v>0</v>
      </c>
    </row>
    <row r="321" spans="1:7" ht="11.25" customHeight="1">
      <c r="A321" s="766" t="s">
        <v>2758</v>
      </c>
      <c r="B321" s="767" t="b">
        <f>AND('Список листов'!$B$42,'Список листов'!$B$43)</f>
        <v>1</v>
      </c>
      <c r="C321" s="768" t="e">
        <f>ROUND(#REF!,2)</f>
        <v>#REF!</v>
      </c>
      <c r="D321" s="768" t="e">
        <f>ROUND(#REF!,2)</f>
        <v>#REF!</v>
      </c>
      <c r="E321" s="766" t="s">
        <v>2759</v>
      </c>
      <c r="F321" s="766" t="s">
        <v>2400</v>
      </c>
      <c r="G321" s="767" t="b">
        <f t="shared" si="10"/>
        <v>0</v>
      </c>
    </row>
    <row r="322" spans="1:7" ht="11.25" customHeight="1">
      <c r="A322" s="766" t="s">
        <v>2760</v>
      </c>
      <c r="B322" s="767" t="b">
        <f>AND('Список листов'!$B$42,'Список листов'!$B$43)</f>
        <v>1</v>
      </c>
      <c r="C322" s="768" t="e">
        <f>ROUND(#REF!,2)</f>
        <v>#REF!</v>
      </c>
      <c r="D322" s="768" t="e">
        <f>ROUND(#REF!,2)</f>
        <v>#REF!</v>
      </c>
      <c r="E322" s="766" t="s">
        <v>2761</v>
      </c>
      <c r="F322" s="766" t="s">
        <v>2400</v>
      </c>
      <c r="G322" s="767" t="b">
        <f t="shared" si="10"/>
        <v>0</v>
      </c>
    </row>
    <row r="323" spans="1:7" ht="11.25" customHeight="1">
      <c r="A323" s="766" t="s">
        <v>2762</v>
      </c>
      <c r="B323" s="767" t="b">
        <f>AND('Список листов'!$B$42,'Список листов'!$B$43)</f>
        <v>1</v>
      </c>
      <c r="C323" s="768" t="e">
        <f>ROUND(#REF!,2)</f>
        <v>#REF!</v>
      </c>
      <c r="D323" s="768" t="e">
        <f>ROUND(#REF!,2)</f>
        <v>#REF!</v>
      </c>
      <c r="E323" s="766" t="s">
        <v>2763</v>
      </c>
      <c r="F323" s="766" t="s">
        <v>2400</v>
      </c>
      <c r="G323" s="767" t="b">
        <f t="shared" si="10"/>
        <v>0</v>
      </c>
    </row>
    <row r="324" spans="1:7" ht="11.25" customHeight="1">
      <c r="A324" s="766" t="s">
        <v>2764</v>
      </c>
      <c r="B324" s="767" t="b">
        <f>AND('Список листов'!$B$42,'Список листов'!$B$43)</f>
        <v>1</v>
      </c>
      <c r="C324" s="768" t="e">
        <f>ROUND(#REF!,2)</f>
        <v>#REF!</v>
      </c>
      <c r="D324" s="768" t="e">
        <f>ROUND(#REF!,2)</f>
        <v>#REF!</v>
      </c>
      <c r="E324" s="766" t="s">
        <v>2765</v>
      </c>
      <c r="F324" s="766" t="s">
        <v>2400</v>
      </c>
      <c r="G324" s="767" t="b">
        <f t="shared" si="10"/>
        <v>0</v>
      </c>
    </row>
    <row r="325" spans="1:7" ht="11.25" customHeight="1">
      <c r="A325" s="766" t="s">
        <v>2766</v>
      </c>
      <c r="B325" s="767" t="b">
        <f>AND('Список листов'!$B$42,'Список листов'!$B$43)</f>
        <v>1</v>
      </c>
      <c r="C325" s="768" t="e">
        <f>ROUND(#REF!,2)</f>
        <v>#REF!</v>
      </c>
      <c r="D325" s="768" t="e">
        <f>ROUND(#REF!,2)</f>
        <v>#REF!</v>
      </c>
      <c r="E325" s="766" t="s">
        <v>2767</v>
      </c>
      <c r="F325" s="766" t="s">
        <v>2400</v>
      </c>
      <c r="G325" s="767" t="b">
        <f t="shared" si="10"/>
        <v>0</v>
      </c>
    </row>
    <row r="326" spans="1:7" ht="11.25" customHeight="1">
      <c r="A326" s="766" t="s">
        <v>2768</v>
      </c>
      <c r="B326" s="767" t="b">
        <f>AND('Список листов'!$B$42,'Список листов'!$B$43)</f>
        <v>1</v>
      </c>
      <c r="C326" s="768" t="e">
        <f>ROUND(#REF!,2)</f>
        <v>#REF!</v>
      </c>
      <c r="D326" s="768" t="e">
        <f>ROUND(#REF!,2)</f>
        <v>#REF!</v>
      </c>
      <c r="E326" s="766" t="s">
        <v>2769</v>
      </c>
      <c r="F326" s="766" t="s">
        <v>2400</v>
      </c>
      <c r="G326" s="767" t="b">
        <f t="shared" si="10"/>
        <v>0</v>
      </c>
    </row>
    <row r="327" spans="1:7" ht="11.25" customHeight="1">
      <c r="A327" s="766" t="s">
        <v>2770</v>
      </c>
      <c r="B327" s="767" t="b">
        <f>AND('Список листов'!$B$42,'Список листов'!$B$43)</f>
        <v>1</v>
      </c>
      <c r="C327" s="768" t="e">
        <f>ROUND(#REF!,2)</f>
        <v>#REF!</v>
      </c>
      <c r="D327" s="768" t="e">
        <f>ROUND(#REF!,2)</f>
        <v>#REF!</v>
      </c>
      <c r="E327" s="766" t="s">
        <v>2771</v>
      </c>
      <c r="F327" s="766" t="s">
        <v>2400</v>
      </c>
      <c r="G327" s="767" t="b">
        <f t="shared" si="10"/>
        <v>0</v>
      </c>
    </row>
    <row r="328" spans="1:7" ht="11.25" customHeight="1">
      <c r="A328" s="766" t="s">
        <v>2772</v>
      </c>
      <c r="B328" s="767" t="b">
        <f>AND('Список листов'!$B$42,'Список листов'!$B$43)</f>
        <v>1</v>
      </c>
      <c r="C328" s="768" t="e">
        <f>ROUND(#REF!,2)</f>
        <v>#REF!</v>
      </c>
      <c r="D328" s="768" t="e">
        <f>ROUND(#REF!,2)</f>
        <v>#REF!</v>
      </c>
      <c r="E328" s="766" t="s">
        <v>2773</v>
      </c>
      <c r="F328" s="766" t="s">
        <v>2400</v>
      </c>
      <c r="G328" s="767" t="b">
        <f t="shared" si="10"/>
        <v>0</v>
      </c>
    </row>
    <row r="329" spans="1:7" ht="11.25" customHeight="1">
      <c r="A329" s="766" t="s">
        <v>2774</v>
      </c>
      <c r="B329" s="767" t="b">
        <f>AND('Список листов'!$B$42,'Список листов'!$B$43)</f>
        <v>1</v>
      </c>
      <c r="C329" s="768" t="e">
        <f>ROUND(#REF!,2)</f>
        <v>#REF!</v>
      </c>
      <c r="D329" s="768" t="e">
        <f>ROUND(#REF!,2)</f>
        <v>#REF!</v>
      </c>
      <c r="E329" s="766" t="s">
        <v>2745</v>
      </c>
      <c r="F329" s="766" t="s">
        <v>2400</v>
      </c>
      <c r="G329" s="767" t="b">
        <f t="shared" si="10"/>
        <v>0</v>
      </c>
    </row>
    <row r="330" spans="1:7" ht="11.25" customHeight="1">
      <c r="A330" s="766" t="s">
        <v>2775</v>
      </c>
      <c r="B330" s="767" t="b">
        <f>AND('Список листов'!$B$42,'Список листов'!$B$43)</f>
        <v>1</v>
      </c>
      <c r="C330" s="768" t="e">
        <f>ROUND(#REF!,2)</f>
        <v>#REF!</v>
      </c>
      <c r="D330" s="768" t="e">
        <f>ROUND(#REF!,2)</f>
        <v>#REF!</v>
      </c>
      <c r="E330" s="766" t="s">
        <v>2747</v>
      </c>
      <c r="F330" s="766" t="s">
        <v>2400</v>
      </c>
      <c r="G330" s="767" t="b">
        <f t="shared" si="10"/>
        <v>0</v>
      </c>
    </row>
    <row r="331" spans="1:7" ht="11.25" customHeight="1">
      <c r="A331" s="766" t="s">
        <v>2776</v>
      </c>
      <c r="B331" s="767" t="b">
        <f>AND('Список листов'!$B$42,'Список листов'!$B$43)</f>
        <v>1</v>
      </c>
      <c r="C331" s="768" t="e">
        <f>ROUND(#REF!,2)</f>
        <v>#REF!</v>
      </c>
      <c r="D331" s="768" t="e">
        <f>ROUND(#REF!,2)</f>
        <v>#REF!</v>
      </c>
      <c r="E331" s="766" t="s">
        <v>2749</v>
      </c>
      <c r="F331" s="766" t="s">
        <v>2400</v>
      </c>
      <c r="G331" s="767" t="b">
        <f t="shared" si="10"/>
        <v>0</v>
      </c>
    </row>
    <row r="332" spans="1:7" ht="11.25" customHeight="1">
      <c r="A332" s="766" t="s">
        <v>2777</v>
      </c>
      <c r="B332" s="767" t="b">
        <f>AND('Список листов'!$B$42,'Список листов'!$B$43)</f>
        <v>1</v>
      </c>
      <c r="C332" s="768" t="e">
        <f>ROUND(#REF!,2)</f>
        <v>#REF!</v>
      </c>
      <c r="D332" s="768" t="e">
        <f>ROUND(#REF!,2)</f>
        <v>#REF!</v>
      </c>
      <c r="E332" s="766" t="s">
        <v>2751</v>
      </c>
      <c r="F332" s="766" t="s">
        <v>2400</v>
      </c>
      <c r="G332" s="767" t="b">
        <f t="shared" si="10"/>
        <v>0</v>
      </c>
    </row>
    <row r="333" spans="1:7" ht="11.25" customHeight="1">
      <c r="A333" s="766" t="s">
        <v>2778</v>
      </c>
      <c r="B333" s="767" t="b">
        <f>AND('Список листов'!$B$42,'Список листов'!$B$43)</f>
        <v>1</v>
      </c>
      <c r="C333" s="768" t="e">
        <f>ROUND(#REF!,2)</f>
        <v>#REF!</v>
      </c>
      <c r="D333" s="768" t="e">
        <f>ROUND(#REF!,2)</f>
        <v>#REF!</v>
      </c>
      <c r="E333" s="766" t="s">
        <v>2753</v>
      </c>
      <c r="F333" s="766" t="s">
        <v>2400</v>
      </c>
      <c r="G333" s="767" t="b">
        <f t="shared" si="10"/>
        <v>0</v>
      </c>
    </row>
    <row r="334" spans="1:7" ht="11.25" customHeight="1">
      <c r="A334" s="766" t="s">
        <v>2779</v>
      </c>
      <c r="B334" s="767" t="b">
        <f>AND('Список листов'!$B$42,'Список листов'!$B$43)</f>
        <v>1</v>
      </c>
      <c r="C334" s="768" t="e">
        <f>ROUND(#REF!,2)</f>
        <v>#REF!</v>
      </c>
      <c r="D334" s="768" t="e">
        <f>ROUND(#REF!,2)</f>
        <v>#REF!</v>
      </c>
      <c r="E334" s="766" t="s">
        <v>2755</v>
      </c>
      <c r="F334" s="766" t="s">
        <v>2400</v>
      </c>
      <c r="G334" s="767" t="b">
        <f t="shared" si="10"/>
        <v>0</v>
      </c>
    </row>
    <row r="335" spans="1:7" ht="11.25" customHeight="1">
      <c r="A335" s="766" t="s">
        <v>2780</v>
      </c>
      <c r="B335" s="767" t="b">
        <f>AND('Список листов'!$B$42,'Список листов'!$B$43)</f>
        <v>1</v>
      </c>
      <c r="C335" s="768" t="e">
        <f>ROUND(#REF!,2)</f>
        <v>#REF!</v>
      </c>
      <c r="D335" s="768" t="e">
        <f>ROUND(#REF!,2)</f>
        <v>#REF!</v>
      </c>
      <c r="E335" s="766" t="s">
        <v>2757</v>
      </c>
      <c r="F335" s="766" t="s">
        <v>2400</v>
      </c>
      <c r="G335" s="767" t="b">
        <f t="shared" si="10"/>
        <v>0</v>
      </c>
    </row>
    <row r="336" spans="1:7" ht="11.25" customHeight="1">
      <c r="A336" s="766" t="s">
        <v>2781</v>
      </c>
      <c r="B336" s="767" t="b">
        <f>AND('Список листов'!$B$42,'Список листов'!$B$43)</f>
        <v>1</v>
      </c>
      <c r="C336" s="768" t="e">
        <f>ROUND(#REF!,2)</f>
        <v>#REF!</v>
      </c>
      <c r="D336" s="768" t="e">
        <f>ROUND(#REF!,2)</f>
        <v>#REF!</v>
      </c>
      <c r="E336" s="766" t="s">
        <v>2759</v>
      </c>
      <c r="F336" s="766" t="s">
        <v>2400</v>
      </c>
      <c r="G336" s="767" t="b">
        <f t="shared" si="10"/>
        <v>0</v>
      </c>
    </row>
    <row r="337" spans="1:7" ht="11.25" customHeight="1">
      <c r="A337" s="766" t="s">
        <v>2782</v>
      </c>
      <c r="B337" s="767" t="b">
        <f>AND('Список листов'!$B$42,'Список листов'!$B$43)</f>
        <v>1</v>
      </c>
      <c r="C337" s="768" t="e">
        <f>ROUND(#REF!,2)</f>
        <v>#REF!</v>
      </c>
      <c r="D337" s="768" t="e">
        <f>ROUND(#REF!,2)</f>
        <v>#REF!</v>
      </c>
      <c r="E337" s="766" t="s">
        <v>2761</v>
      </c>
      <c r="F337" s="766" t="s">
        <v>2400</v>
      </c>
      <c r="G337" s="767" t="b">
        <f t="shared" si="10"/>
        <v>0</v>
      </c>
    </row>
    <row r="338" spans="1:7" ht="11.25" customHeight="1">
      <c r="A338" s="766" t="s">
        <v>2783</v>
      </c>
      <c r="B338" s="767" t="b">
        <f>AND('Список листов'!$B$42,'Список листов'!$B$43)</f>
        <v>1</v>
      </c>
      <c r="C338" s="768" t="e">
        <f>ROUND(#REF!,2)</f>
        <v>#REF!</v>
      </c>
      <c r="D338" s="768" t="e">
        <f>ROUND(#REF!,2)</f>
        <v>#REF!</v>
      </c>
      <c r="E338" s="766" t="s">
        <v>2763</v>
      </c>
      <c r="F338" s="766" t="s">
        <v>2400</v>
      </c>
      <c r="G338" s="767" t="b">
        <f t="shared" si="10"/>
        <v>0</v>
      </c>
    </row>
    <row r="339" spans="1:7" ht="11.25" customHeight="1">
      <c r="A339" s="766" t="s">
        <v>2784</v>
      </c>
      <c r="B339" s="767" t="b">
        <f>AND('Список листов'!$B$42,'Список листов'!$B$43)</f>
        <v>1</v>
      </c>
      <c r="C339" s="768" t="e">
        <f>ROUND(#REF!,2)</f>
        <v>#REF!</v>
      </c>
      <c r="D339" s="768" t="e">
        <f>ROUND(#REF!,2)</f>
        <v>#REF!</v>
      </c>
      <c r="E339" s="766" t="s">
        <v>2765</v>
      </c>
      <c r="F339" s="766" t="s">
        <v>2400</v>
      </c>
      <c r="G339" s="767" t="b">
        <f t="shared" si="10"/>
        <v>0</v>
      </c>
    </row>
    <row r="340" spans="1:7" ht="11.25" customHeight="1">
      <c r="A340" s="766" t="s">
        <v>2785</v>
      </c>
      <c r="B340" s="767" t="b">
        <f>AND('Список листов'!$B$42,'Список листов'!$B$43)</f>
        <v>1</v>
      </c>
      <c r="C340" s="768" t="e">
        <f>ROUND(#REF!,2)</f>
        <v>#REF!</v>
      </c>
      <c r="D340" s="768" t="e">
        <f>ROUND(#REF!,2)</f>
        <v>#REF!</v>
      </c>
      <c r="E340" s="766" t="s">
        <v>2767</v>
      </c>
      <c r="F340" s="766" t="s">
        <v>2400</v>
      </c>
      <c r="G340" s="767" t="b">
        <f t="shared" si="10"/>
        <v>0</v>
      </c>
    </row>
    <row r="341" spans="1:7" ht="11.25" customHeight="1">
      <c r="A341" s="766" t="s">
        <v>2786</v>
      </c>
      <c r="B341" s="767" t="b">
        <f>AND('Список листов'!$B$42,'Список листов'!$B$43)</f>
        <v>1</v>
      </c>
      <c r="C341" s="768" t="e">
        <f>ROUND(#REF!,2)</f>
        <v>#REF!</v>
      </c>
      <c r="D341" s="768" t="e">
        <f>ROUND(#REF!,2)</f>
        <v>#REF!</v>
      </c>
      <c r="E341" s="766" t="s">
        <v>2769</v>
      </c>
      <c r="F341" s="766" t="s">
        <v>2400</v>
      </c>
      <c r="G341" s="767" t="b">
        <f t="shared" si="10"/>
        <v>0</v>
      </c>
    </row>
    <row r="342" spans="1:7" ht="11.25" customHeight="1">
      <c r="A342" s="766" t="s">
        <v>2787</v>
      </c>
      <c r="B342" s="767" t="b">
        <f>AND('Список листов'!$B$42,'Список листов'!$B$43)</f>
        <v>1</v>
      </c>
      <c r="C342" s="768" t="e">
        <f>ROUND(#REF!,2)</f>
        <v>#REF!</v>
      </c>
      <c r="D342" s="768" t="e">
        <f>ROUND(#REF!,2)</f>
        <v>#REF!</v>
      </c>
      <c r="E342" s="766" t="s">
        <v>2771</v>
      </c>
      <c r="F342" s="766" t="s">
        <v>2400</v>
      </c>
      <c r="G342" s="767" t="b">
        <f t="shared" si="10"/>
        <v>0</v>
      </c>
    </row>
    <row r="343" spans="1:7" ht="11.25" customHeight="1">
      <c r="A343" s="766" t="s">
        <v>2788</v>
      </c>
      <c r="B343" s="767" t="b">
        <f>AND('Список листов'!$B$42,'Список листов'!$B$43)</f>
        <v>1</v>
      </c>
      <c r="C343" s="768" t="e">
        <f>ROUND(#REF!,2)</f>
        <v>#REF!</v>
      </c>
      <c r="D343" s="768" t="e">
        <f>ROUND(#REF!,2)</f>
        <v>#REF!</v>
      </c>
      <c r="E343" s="766" t="s">
        <v>2773</v>
      </c>
      <c r="F343" s="766" t="s">
        <v>2400</v>
      </c>
      <c r="G343" s="767" t="b">
        <f t="shared" si="10"/>
        <v>0</v>
      </c>
    </row>
    <row r="344" spans="1:7" ht="11.25" customHeight="1">
      <c r="A344" s="766" t="s">
        <v>2789</v>
      </c>
      <c r="B344" s="767" t="b">
        <f>AND('Список листов'!$B$42,'Список листов'!$B$43)</f>
        <v>1</v>
      </c>
      <c r="C344" s="768" t="e">
        <f>ROUND(#REF!,2)</f>
        <v>#REF!</v>
      </c>
      <c r="D344" s="768" t="e">
        <f>ROUND(#REF!,2)</f>
        <v>#REF!</v>
      </c>
      <c r="E344" s="766" t="s">
        <v>2745</v>
      </c>
      <c r="F344" s="766" t="s">
        <v>2400</v>
      </c>
      <c r="G344" s="767" t="b">
        <f t="shared" si="10"/>
        <v>0</v>
      </c>
    </row>
    <row r="345" spans="1:7" ht="11.25" customHeight="1">
      <c r="A345" s="766" t="s">
        <v>2790</v>
      </c>
      <c r="B345" s="767" t="b">
        <f>AND('Список листов'!$B$42,'Список листов'!$B$43)</f>
        <v>1</v>
      </c>
      <c r="C345" s="768" t="e">
        <f>ROUND(#REF!,2)</f>
        <v>#REF!</v>
      </c>
      <c r="D345" s="768" t="e">
        <f>ROUND(#REF!,2)</f>
        <v>#REF!</v>
      </c>
      <c r="E345" s="766" t="s">
        <v>2747</v>
      </c>
      <c r="F345" s="766" t="s">
        <v>2400</v>
      </c>
      <c r="G345" s="767" t="b">
        <f t="shared" si="10"/>
        <v>0</v>
      </c>
    </row>
    <row r="346" spans="1:7" ht="11.25" customHeight="1">
      <c r="A346" s="766" t="s">
        <v>2791</v>
      </c>
      <c r="B346" s="767" t="b">
        <f>AND('Список листов'!$B$42,'Список листов'!$B$43)</f>
        <v>1</v>
      </c>
      <c r="C346" s="768" t="e">
        <f>ROUND(#REF!,2)</f>
        <v>#REF!</v>
      </c>
      <c r="D346" s="768" t="e">
        <f>ROUND(#REF!,2)</f>
        <v>#REF!</v>
      </c>
      <c r="E346" s="766" t="s">
        <v>2749</v>
      </c>
      <c r="F346" s="766" t="s">
        <v>2400</v>
      </c>
      <c r="G346" s="767" t="b">
        <f t="shared" si="10"/>
        <v>0</v>
      </c>
    </row>
    <row r="347" spans="1:7" ht="11.25" customHeight="1">
      <c r="A347" s="766" t="s">
        <v>2792</v>
      </c>
      <c r="B347" s="767" t="b">
        <f>AND('Список листов'!$B$42,'Список листов'!$B$43)</f>
        <v>1</v>
      </c>
      <c r="C347" s="768" t="e">
        <f>ROUND(#REF!,2)</f>
        <v>#REF!</v>
      </c>
      <c r="D347" s="768" t="e">
        <f>ROUND(#REF!,2)</f>
        <v>#REF!</v>
      </c>
      <c r="E347" s="766" t="s">
        <v>2751</v>
      </c>
      <c r="F347" s="766" t="s">
        <v>2400</v>
      </c>
      <c r="G347" s="767" t="b">
        <f t="shared" si="10"/>
        <v>0</v>
      </c>
    </row>
    <row r="348" spans="1:7" ht="11.25" customHeight="1">
      <c r="A348" s="766" t="s">
        <v>2793</v>
      </c>
      <c r="B348" s="767" t="b">
        <f>AND('Список листов'!$B$42,'Список листов'!$B$43)</f>
        <v>1</v>
      </c>
      <c r="C348" s="768" t="e">
        <f>ROUND(#REF!,2)</f>
        <v>#REF!</v>
      </c>
      <c r="D348" s="768" t="e">
        <f>ROUND(#REF!,2)</f>
        <v>#REF!</v>
      </c>
      <c r="E348" s="766" t="s">
        <v>2753</v>
      </c>
      <c r="F348" s="766" t="s">
        <v>2400</v>
      </c>
      <c r="G348" s="767" t="b">
        <f t="shared" si="10"/>
        <v>0</v>
      </c>
    </row>
    <row r="349" spans="1:7" ht="11.25" customHeight="1">
      <c r="A349" s="766" t="s">
        <v>2794</v>
      </c>
      <c r="B349" s="767" t="b">
        <f>AND('Список листов'!$B$42,'Список листов'!$B$43)</f>
        <v>1</v>
      </c>
      <c r="C349" s="768" t="e">
        <f>ROUND(#REF!,2)</f>
        <v>#REF!</v>
      </c>
      <c r="D349" s="768" t="e">
        <f>ROUND(#REF!,2)</f>
        <v>#REF!</v>
      </c>
      <c r="E349" s="766" t="s">
        <v>2755</v>
      </c>
      <c r="F349" s="766" t="s">
        <v>2400</v>
      </c>
      <c r="G349" s="767" t="b">
        <f t="shared" si="10"/>
        <v>0</v>
      </c>
    </row>
    <row r="350" spans="1:7" ht="11.25" customHeight="1">
      <c r="A350" s="766" t="s">
        <v>2795</v>
      </c>
      <c r="B350" s="767" t="b">
        <f>AND('Список листов'!$B$42,'Список листов'!$B$43)</f>
        <v>1</v>
      </c>
      <c r="C350" s="768" t="e">
        <f>ROUND(#REF!,2)</f>
        <v>#REF!</v>
      </c>
      <c r="D350" s="768" t="e">
        <f>ROUND(#REF!,2)</f>
        <v>#REF!</v>
      </c>
      <c r="E350" s="766" t="s">
        <v>2757</v>
      </c>
      <c r="F350" s="766" t="s">
        <v>2400</v>
      </c>
      <c r="G350" s="767" t="b">
        <f t="shared" si="10"/>
        <v>0</v>
      </c>
    </row>
    <row r="351" spans="1:7" ht="11.25" customHeight="1">
      <c r="A351" s="766" t="s">
        <v>2796</v>
      </c>
      <c r="B351" s="767" t="b">
        <f>AND('Список листов'!$B$42,'Список листов'!$B$43)</f>
        <v>1</v>
      </c>
      <c r="C351" s="768" t="e">
        <f>ROUND(#REF!,2)</f>
        <v>#REF!</v>
      </c>
      <c r="D351" s="768" t="e">
        <f>ROUND(#REF!,2)</f>
        <v>#REF!</v>
      </c>
      <c r="E351" s="766" t="s">
        <v>2759</v>
      </c>
      <c r="F351" s="766" t="s">
        <v>2400</v>
      </c>
      <c r="G351" s="767" t="b">
        <f t="shared" ref="G351:G382" si="11">IFERROR(C351=D351,FALSE)</f>
        <v>0</v>
      </c>
    </row>
    <row r="352" spans="1:7" ht="11.25" customHeight="1">
      <c r="A352" s="766" t="s">
        <v>2797</v>
      </c>
      <c r="B352" s="767" t="b">
        <f>AND('Список листов'!$B$42,'Список листов'!$B$43)</f>
        <v>1</v>
      </c>
      <c r="C352" s="768" t="e">
        <f>ROUND(#REF!,2)</f>
        <v>#REF!</v>
      </c>
      <c r="D352" s="768" t="e">
        <f>ROUND(#REF!,2)</f>
        <v>#REF!</v>
      </c>
      <c r="E352" s="766" t="s">
        <v>2761</v>
      </c>
      <c r="F352" s="766" t="s">
        <v>2400</v>
      </c>
      <c r="G352" s="767" t="b">
        <f t="shared" si="11"/>
        <v>0</v>
      </c>
    </row>
    <row r="353" spans="1:7" ht="11.25" customHeight="1">
      <c r="A353" s="766" t="s">
        <v>2798</v>
      </c>
      <c r="B353" s="767" t="b">
        <f>AND('Список листов'!$B$42,'Список листов'!$B$43)</f>
        <v>1</v>
      </c>
      <c r="C353" s="768" t="e">
        <f>ROUND(#REF!,2)</f>
        <v>#REF!</v>
      </c>
      <c r="D353" s="768" t="e">
        <f>ROUND(#REF!,2)</f>
        <v>#REF!</v>
      </c>
      <c r="E353" s="766" t="s">
        <v>2763</v>
      </c>
      <c r="F353" s="766" t="s">
        <v>2400</v>
      </c>
      <c r="G353" s="767" t="b">
        <f t="shared" si="11"/>
        <v>0</v>
      </c>
    </row>
    <row r="354" spans="1:7" ht="11.25" customHeight="1">
      <c r="A354" s="766" t="s">
        <v>2799</v>
      </c>
      <c r="B354" s="767" t="b">
        <f>AND('Список листов'!$B$42,'Список листов'!$B$43)</f>
        <v>1</v>
      </c>
      <c r="C354" s="768" t="e">
        <f>ROUND(#REF!,2)</f>
        <v>#REF!</v>
      </c>
      <c r="D354" s="768" t="e">
        <f>ROUND(#REF!,2)</f>
        <v>#REF!</v>
      </c>
      <c r="E354" s="766" t="s">
        <v>2765</v>
      </c>
      <c r="F354" s="766" t="s">
        <v>2400</v>
      </c>
      <c r="G354" s="767" t="b">
        <f t="shared" si="11"/>
        <v>0</v>
      </c>
    </row>
    <row r="355" spans="1:7" ht="11.25" customHeight="1">
      <c r="A355" s="766" t="s">
        <v>2800</v>
      </c>
      <c r="B355" s="767" t="b">
        <f>AND('Список листов'!$B$42,'Список листов'!$B$43)</f>
        <v>1</v>
      </c>
      <c r="C355" s="768" t="e">
        <f>ROUND(#REF!,2)</f>
        <v>#REF!</v>
      </c>
      <c r="D355" s="768" t="e">
        <f>ROUND(#REF!,2)</f>
        <v>#REF!</v>
      </c>
      <c r="E355" s="766" t="s">
        <v>2767</v>
      </c>
      <c r="F355" s="766" t="s">
        <v>2400</v>
      </c>
      <c r="G355" s="767" t="b">
        <f t="shared" si="11"/>
        <v>0</v>
      </c>
    </row>
    <row r="356" spans="1:7" ht="11.25" customHeight="1">
      <c r="A356" s="766" t="s">
        <v>2801</v>
      </c>
      <c r="B356" s="767" t="b">
        <f>AND('Список листов'!$B$42,'Список листов'!$B$43)</f>
        <v>1</v>
      </c>
      <c r="C356" s="768" t="e">
        <f>ROUND(#REF!,2)</f>
        <v>#REF!</v>
      </c>
      <c r="D356" s="768" t="e">
        <f>ROUND(#REF!,2)</f>
        <v>#REF!</v>
      </c>
      <c r="E356" s="766" t="s">
        <v>2769</v>
      </c>
      <c r="F356" s="766" t="s">
        <v>2400</v>
      </c>
      <c r="G356" s="767" t="b">
        <f t="shared" si="11"/>
        <v>0</v>
      </c>
    </row>
    <row r="357" spans="1:7" ht="11.25" customHeight="1">
      <c r="A357" s="766" t="s">
        <v>2802</v>
      </c>
      <c r="B357" s="767" t="b">
        <f>AND('Список листов'!$B$42,'Список листов'!$B$43)</f>
        <v>1</v>
      </c>
      <c r="C357" s="768" t="e">
        <f>ROUND(#REF!,2)</f>
        <v>#REF!</v>
      </c>
      <c r="D357" s="768" t="e">
        <f>ROUND(#REF!,2)</f>
        <v>#REF!</v>
      </c>
      <c r="E357" s="766" t="s">
        <v>2771</v>
      </c>
      <c r="F357" s="766" t="s">
        <v>2400</v>
      </c>
      <c r="G357" s="767" t="b">
        <f t="shared" si="11"/>
        <v>0</v>
      </c>
    </row>
    <row r="358" spans="1:7" ht="11.25" customHeight="1">
      <c r="A358" s="766" t="s">
        <v>2803</v>
      </c>
      <c r="B358" s="767" t="b">
        <f>AND('Список листов'!$B$42,'Список листов'!$B$43)</f>
        <v>1</v>
      </c>
      <c r="C358" s="768" t="e">
        <f>ROUND(#REF!,2)</f>
        <v>#REF!</v>
      </c>
      <c r="D358" s="768" t="e">
        <f>ROUND(#REF!,2)</f>
        <v>#REF!</v>
      </c>
      <c r="E358" s="766" t="s">
        <v>2773</v>
      </c>
      <c r="F358" s="766" t="s">
        <v>2400</v>
      </c>
      <c r="G358" s="767" t="b">
        <f t="shared" si="11"/>
        <v>0</v>
      </c>
    </row>
    <row r="359" spans="1:7" ht="11.25" customHeight="1">
      <c r="A359" s="766" t="s">
        <v>2804</v>
      </c>
      <c r="B359" s="767" t="b">
        <f>AND('Список листов'!$B$42,'Список листов'!$B$43)</f>
        <v>1</v>
      </c>
      <c r="C359" s="768" t="e">
        <f>ROUND(#REF!,2)</f>
        <v>#REF!</v>
      </c>
      <c r="D359" s="768" t="e">
        <f>ROUND(#REF!,2)</f>
        <v>#REF!</v>
      </c>
      <c r="E359" s="766" t="s">
        <v>2745</v>
      </c>
      <c r="F359" s="766" t="s">
        <v>2400</v>
      </c>
      <c r="G359" s="767" t="b">
        <f t="shared" si="11"/>
        <v>0</v>
      </c>
    </row>
    <row r="360" spans="1:7" ht="11.25" customHeight="1">
      <c r="A360" s="766" t="s">
        <v>2805</v>
      </c>
      <c r="B360" s="767" t="b">
        <f>AND('Список листов'!$B$42,'Список листов'!$B$43)</f>
        <v>1</v>
      </c>
      <c r="C360" s="768" t="e">
        <f>ROUND(#REF!,2)</f>
        <v>#REF!</v>
      </c>
      <c r="D360" s="768" t="e">
        <f>ROUND(#REF!,2)</f>
        <v>#REF!</v>
      </c>
      <c r="E360" s="766" t="s">
        <v>2747</v>
      </c>
      <c r="F360" s="766" t="s">
        <v>2400</v>
      </c>
      <c r="G360" s="767" t="b">
        <f t="shared" si="11"/>
        <v>0</v>
      </c>
    </row>
    <row r="361" spans="1:7" ht="11.25" customHeight="1">
      <c r="A361" s="766" t="s">
        <v>2806</v>
      </c>
      <c r="B361" s="767" t="b">
        <f>AND('Список листов'!$B$42,'Список листов'!$B$43)</f>
        <v>1</v>
      </c>
      <c r="C361" s="768" t="e">
        <f>ROUND(#REF!,2)</f>
        <v>#REF!</v>
      </c>
      <c r="D361" s="768" t="e">
        <f>ROUND(#REF!,2)</f>
        <v>#REF!</v>
      </c>
      <c r="E361" s="766" t="s">
        <v>2749</v>
      </c>
      <c r="F361" s="766" t="s">
        <v>2400</v>
      </c>
      <c r="G361" s="767" t="b">
        <f t="shared" si="11"/>
        <v>0</v>
      </c>
    </row>
    <row r="362" spans="1:7" ht="11.25" customHeight="1">
      <c r="A362" s="766" t="s">
        <v>2807</v>
      </c>
      <c r="B362" s="767" t="b">
        <f>AND('Список листов'!$B$42,'Список листов'!$B$43)</f>
        <v>1</v>
      </c>
      <c r="C362" s="768" t="e">
        <f>ROUND(#REF!,2)</f>
        <v>#REF!</v>
      </c>
      <c r="D362" s="768" t="e">
        <f>ROUND(#REF!,2)</f>
        <v>#REF!</v>
      </c>
      <c r="E362" s="766" t="s">
        <v>2751</v>
      </c>
      <c r="F362" s="766" t="s">
        <v>2400</v>
      </c>
      <c r="G362" s="767" t="b">
        <f t="shared" si="11"/>
        <v>0</v>
      </c>
    </row>
    <row r="363" spans="1:7" ht="11.25" customHeight="1">
      <c r="A363" s="766" t="s">
        <v>2808</v>
      </c>
      <c r="B363" s="767" t="b">
        <f>AND('Список листов'!$B$42,'Список листов'!$B$43)</f>
        <v>1</v>
      </c>
      <c r="C363" s="768" t="e">
        <f>ROUND(#REF!,2)</f>
        <v>#REF!</v>
      </c>
      <c r="D363" s="768" t="e">
        <f>ROUND(#REF!,2)</f>
        <v>#REF!</v>
      </c>
      <c r="E363" s="766" t="s">
        <v>2753</v>
      </c>
      <c r="F363" s="766" t="s">
        <v>2400</v>
      </c>
      <c r="G363" s="767" t="b">
        <f t="shared" si="11"/>
        <v>0</v>
      </c>
    </row>
    <row r="364" spans="1:7" ht="11.25" customHeight="1">
      <c r="A364" s="766" t="s">
        <v>2809</v>
      </c>
      <c r="B364" s="767" t="b">
        <f>AND('Список листов'!$B$42,'Список листов'!$B$43)</f>
        <v>1</v>
      </c>
      <c r="C364" s="768" t="e">
        <f>ROUND(#REF!,2)</f>
        <v>#REF!</v>
      </c>
      <c r="D364" s="768" t="e">
        <f>ROUND(#REF!,2)</f>
        <v>#REF!</v>
      </c>
      <c r="E364" s="766" t="s">
        <v>2755</v>
      </c>
      <c r="F364" s="766" t="s">
        <v>2400</v>
      </c>
      <c r="G364" s="767" t="b">
        <f t="shared" si="11"/>
        <v>0</v>
      </c>
    </row>
    <row r="365" spans="1:7" ht="11.25" customHeight="1">
      <c r="A365" s="766" t="s">
        <v>2810</v>
      </c>
      <c r="B365" s="767" t="b">
        <f>AND('Список листов'!$B$42,'Список листов'!$B$43)</f>
        <v>1</v>
      </c>
      <c r="C365" s="768" t="e">
        <f>ROUND(#REF!,2)</f>
        <v>#REF!</v>
      </c>
      <c r="D365" s="768" t="e">
        <f>ROUND(#REF!,2)</f>
        <v>#REF!</v>
      </c>
      <c r="E365" s="766" t="s">
        <v>2757</v>
      </c>
      <c r="F365" s="766" t="s">
        <v>2400</v>
      </c>
      <c r="G365" s="767" t="b">
        <f t="shared" si="11"/>
        <v>0</v>
      </c>
    </row>
    <row r="366" spans="1:7" ht="11.25" customHeight="1">
      <c r="A366" s="766" t="s">
        <v>2811</v>
      </c>
      <c r="B366" s="767" t="b">
        <f>AND('Список листов'!$B$42,'Список листов'!$B$43)</f>
        <v>1</v>
      </c>
      <c r="C366" s="768" t="e">
        <f>ROUND(#REF!,2)</f>
        <v>#REF!</v>
      </c>
      <c r="D366" s="768" t="e">
        <f>ROUND(#REF!,2)</f>
        <v>#REF!</v>
      </c>
      <c r="E366" s="766" t="s">
        <v>2759</v>
      </c>
      <c r="F366" s="766" t="s">
        <v>2400</v>
      </c>
      <c r="G366" s="767" t="b">
        <f t="shared" si="11"/>
        <v>0</v>
      </c>
    </row>
    <row r="367" spans="1:7" ht="11.25" customHeight="1">
      <c r="A367" s="766" t="s">
        <v>2812</v>
      </c>
      <c r="B367" s="767" t="b">
        <f>AND('Список листов'!$B$42,'Список листов'!$B$43)</f>
        <v>1</v>
      </c>
      <c r="C367" s="768" t="e">
        <f>ROUND(#REF!,2)</f>
        <v>#REF!</v>
      </c>
      <c r="D367" s="768" t="e">
        <f>ROUND(#REF!,2)</f>
        <v>#REF!</v>
      </c>
      <c r="E367" s="766" t="s">
        <v>2761</v>
      </c>
      <c r="F367" s="766" t="s">
        <v>2400</v>
      </c>
      <c r="G367" s="767" t="b">
        <f t="shared" si="11"/>
        <v>0</v>
      </c>
    </row>
    <row r="368" spans="1:7" ht="11.25" customHeight="1">
      <c r="A368" s="766" t="s">
        <v>2813</v>
      </c>
      <c r="B368" s="767" t="b">
        <f>AND('Список листов'!$B$42,'Список листов'!$B$43)</f>
        <v>1</v>
      </c>
      <c r="C368" s="768" t="e">
        <f>ROUND(#REF!,2)</f>
        <v>#REF!</v>
      </c>
      <c r="D368" s="768" t="e">
        <f>ROUND(#REF!,2)</f>
        <v>#REF!</v>
      </c>
      <c r="E368" s="766" t="s">
        <v>2763</v>
      </c>
      <c r="F368" s="766" t="s">
        <v>2400</v>
      </c>
      <c r="G368" s="767" t="b">
        <f t="shared" si="11"/>
        <v>0</v>
      </c>
    </row>
    <row r="369" spans="1:7" ht="11.25" customHeight="1">
      <c r="A369" s="766" t="s">
        <v>2814</v>
      </c>
      <c r="B369" s="767" t="b">
        <f>AND('Список листов'!$B$42,'Список листов'!$B$43)</f>
        <v>1</v>
      </c>
      <c r="C369" s="768" t="e">
        <f>ROUND(#REF!,2)</f>
        <v>#REF!</v>
      </c>
      <c r="D369" s="768" t="e">
        <f>ROUND(#REF!,2)</f>
        <v>#REF!</v>
      </c>
      <c r="E369" s="766" t="s">
        <v>2765</v>
      </c>
      <c r="F369" s="766" t="s">
        <v>2400</v>
      </c>
      <c r="G369" s="767" t="b">
        <f t="shared" si="11"/>
        <v>0</v>
      </c>
    </row>
    <row r="370" spans="1:7" ht="11.25" customHeight="1">
      <c r="A370" s="766" t="s">
        <v>2815</v>
      </c>
      <c r="B370" s="767" t="b">
        <f>AND('Список листов'!$B$42,'Список листов'!$B$43)</f>
        <v>1</v>
      </c>
      <c r="C370" s="768" t="e">
        <f>ROUND(#REF!,2)</f>
        <v>#REF!</v>
      </c>
      <c r="D370" s="768" t="e">
        <f>ROUND(#REF!,2)</f>
        <v>#REF!</v>
      </c>
      <c r="E370" s="766" t="s">
        <v>2767</v>
      </c>
      <c r="F370" s="766" t="s">
        <v>2400</v>
      </c>
      <c r="G370" s="767" t="b">
        <f t="shared" si="11"/>
        <v>0</v>
      </c>
    </row>
    <row r="371" spans="1:7" ht="11.25" customHeight="1">
      <c r="A371" s="766" t="s">
        <v>2816</v>
      </c>
      <c r="B371" s="767" t="b">
        <f>AND('Список листов'!$B$42,'Список листов'!$B$43)</f>
        <v>1</v>
      </c>
      <c r="C371" s="768" t="e">
        <f>ROUND(#REF!,2)</f>
        <v>#REF!</v>
      </c>
      <c r="D371" s="768" t="e">
        <f>ROUND(#REF!,2)</f>
        <v>#REF!</v>
      </c>
      <c r="E371" s="766" t="s">
        <v>2769</v>
      </c>
      <c r="F371" s="766" t="s">
        <v>2400</v>
      </c>
      <c r="G371" s="767" t="b">
        <f t="shared" si="11"/>
        <v>0</v>
      </c>
    </row>
    <row r="372" spans="1:7" ht="11.25" customHeight="1">
      <c r="A372" s="766" t="s">
        <v>2817</v>
      </c>
      <c r="B372" s="767" t="b">
        <f>AND('Список листов'!$B$42,'Список листов'!$B$43)</f>
        <v>1</v>
      </c>
      <c r="C372" s="768" t="e">
        <f>ROUND(#REF!,2)</f>
        <v>#REF!</v>
      </c>
      <c r="D372" s="768" t="e">
        <f>ROUND(#REF!,2)</f>
        <v>#REF!</v>
      </c>
      <c r="E372" s="766" t="s">
        <v>2771</v>
      </c>
      <c r="F372" s="766" t="s">
        <v>2400</v>
      </c>
      <c r="G372" s="767" t="b">
        <f t="shared" si="11"/>
        <v>0</v>
      </c>
    </row>
    <row r="373" spans="1:7" ht="11.25" customHeight="1">
      <c r="A373" s="766" t="s">
        <v>2818</v>
      </c>
      <c r="B373" s="767" t="b">
        <f>AND('Список листов'!$B$42,'Список листов'!$B$43)</f>
        <v>1</v>
      </c>
      <c r="C373" s="768" t="e">
        <f>ROUND(#REF!,2)</f>
        <v>#REF!</v>
      </c>
      <c r="D373" s="768" t="e">
        <f>ROUND(#REF!,2)</f>
        <v>#REF!</v>
      </c>
      <c r="E373" s="766" t="s">
        <v>2773</v>
      </c>
      <c r="F373" s="766" t="s">
        <v>2400</v>
      </c>
      <c r="G373" s="767" t="b">
        <f t="shared" si="11"/>
        <v>0</v>
      </c>
    </row>
    <row r="374" spans="1:7" ht="11.25" customHeight="1">
      <c r="A374" s="766" t="s">
        <v>2819</v>
      </c>
      <c r="B374" s="767" t="b">
        <f>AND('Список листов'!$B$42,'Список листов'!$B$43)</f>
        <v>1</v>
      </c>
      <c r="C374" s="768" t="e">
        <f>ROUND(#REF!,2)</f>
        <v>#REF!</v>
      </c>
      <c r="D374" s="768" t="e">
        <f>ROUND(#REF!,2)</f>
        <v>#REF!</v>
      </c>
      <c r="E374" s="766" t="s">
        <v>2820</v>
      </c>
      <c r="F374" s="766" t="s">
        <v>2400</v>
      </c>
      <c r="G374" s="767" t="b">
        <f t="shared" si="11"/>
        <v>0</v>
      </c>
    </row>
    <row r="375" spans="1:7" ht="11.25" customHeight="1">
      <c r="A375" s="766" t="s">
        <v>2821</v>
      </c>
      <c r="B375" s="767" t="b">
        <f>AND('Список листов'!$B$42,'Список листов'!$B$43)</f>
        <v>1</v>
      </c>
      <c r="C375" s="768" t="e">
        <f>ROUND(#REF!,2)</f>
        <v>#REF!</v>
      </c>
      <c r="D375" s="768" t="e">
        <f>ROUND(#REF!,2)</f>
        <v>#REF!</v>
      </c>
      <c r="E375" s="766" t="s">
        <v>2822</v>
      </c>
      <c r="F375" s="766" t="s">
        <v>2400</v>
      </c>
      <c r="G375" s="767" t="b">
        <f t="shared" si="11"/>
        <v>0</v>
      </c>
    </row>
    <row r="376" spans="1:7" ht="11.25" customHeight="1">
      <c r="A376" s="766" t="s">
        <v>2823</v>
      </c>
      <c r="B376" s="767" t="b">
        <f>AND('Список листов'!$B$42,'Список листов'!$B$43)</f>
        <v>1</v>
      </c>
      <c r="C376" s="768" t="e">
        <f>ROUND(#REF!,2)</f>
        <v>#REF!</v>
      </c>
      <c r="D376" s="768" t="e">
        <f>ROUND(#REF!,2)</f>
        <v>#REF!</v>
      </c>
      <c r="E376" s="766" t="s">
        <v>2824</v>
      </c>
      <c r="F376" s="766" t="s">
        <v>2400</v>
      </c>
      <c r="G376" s="767" t="b">
        <f t="shared" si="11"/>
        <v>0</v>
      </c>
    </row>
    <row r="377" spans="1:7" ht="11.25" customHeight="1">
      <c r="A377" s="766" t="s">
        <v>2825</v>
      </c>
      <c r="B377" s="767" t="b">
        <f>AND('Список листов'!$B$42,'Список листов'!$B$43)</f>
        <v>1</v>
      </c>
      <c r="C377" s="768" t="e">
        <f>ROUND(#REF!,2)</f>
        <v>#REF!</v>
      </c>
      <c r="D377" s="768" t="e">
        <f>ROUND(#REF!,2)</f>
        <v>#REF!</v>
      </c>
      <c r="E377" s="766" t="s">
        <v>2826</v>
      </c>
      <c r="F377" s="766" t="s">
        <v>2400</v>
      </c>
      <c r="G377" s="767" t="b">
        <f t="shared" si="11"/>
        <v>0</v>
      </c>
    </row>
    <row r="378" spans="1:7" ht="11.25" customHeight="1">
      <c r="A378" s="766" t="s">
        <v>2827</v>
      </c>
      <c r="B378" s="767" t="b">
        <f>AND('Список листов'!$B$42,'Список листов'!$B$43)</f>
        <v>1</v>
      </c>
      <c r="C378" s="768" t="e">
        <f>ROUND(#REF!,2)</f>
        <v>#REF!</v>
      </c>
      <c r="D378" s="768" t="e">
        <f>ROUND(#REF!,2)</f>
        <v>#REF!</v>
      </c>
      <c r="E378" s="766" t="s">
        <v>2828</v>
      </c>
      <c r="F378" s="766" t="s">
        <v>2400</v>
      </c>
      <c r="G378" s="767" t="b">
        <f t="shared" si="11"/>
        <v>0</v>
      </c>
    </row>
    <row r="379" spans="1:7" ht="11.25" customHeight="1">
      <c r="A379" s="766" t="s">
        <v>2829</v>
      </c>
      <c r="B379" s="767" t="b">
        <f>AND('Список листов'!$B$42,'Список листов'!$B$43)</f>
        <v>1</v>
      </c>
      <c r="C379" s="768" t="e">
        <f>ROUND(#REF!,2)</f>
        <v>#REF!</v>
      </c>
      <c r="D379" s="768" t="e">
        <f>ROUND(#REF!,2)</f>
        <v>#REF!</v>
      </c>
      <c r="E379" s="766" t="s">
        <v>2830</v>
      </c>
      <c r="F379" s="766" t="s">
        <v>2400</v>
      </c>
      <c r="G379" s="767" t="b">
        <f t="shared" si="11"/>
        <v>0</v>
      </c>
    </row>
    <row r="380" spans="1:7" ht="11.25" customHeight="1">
      <c r="A380" s="766" t="s">
        <v>2831</v>
      </c>
      <c r="B380" s="767" t="b">
        <f>AND('Список листов'!$B$42,'Список листов'!$B$43)</f>
        <v>1</v>
      </c>
      <c r="C380" s="768" t="e">
        <f>ROUND(#REF!,2)</f>
        <v>#REF!</v>
      </c>
      <c r="D380" s="768" t="e">
        <f>ROUND(#REF!,2)</f>
        <v>#REF!</v>
      </c>
      <c r="E380" s="766" t="s">
        <v>2832</v>
      </c>
      <c r="F380" s="766" t="s">
        <v>2400</v>
      </c>
      <c r="G380" s="767" t="b">
        <f t="shared" si="11"/>
        <v>0</v>
      </c>
    </row>
    <row r="381" spans="1:7" ht="11.25" customHeight="1">
      <c r="A381" s="766" t="s">
        <v>2833</v>
      </c>
      <c r="B381" s="767" t="b">
        <f>AND('Список листов'!$B$42,'Список листов'!$B$43)</f>
        <v>1</v>
      </c>
      <c r="C381" s="768" t="e">
        <f>ROUND(#REF!,2)</f>
        <v>#REF!</v>
      </c>
      <c r="D381" s="768" t="e">
        <f>ROUND(#REF!,2)</f>
        <v>#REF!</v>
      </c>
      <c r="E381" s="766" t="s">
        <v>2834</v>
      </c>
      <c r="F381" s="766" t="s">
        <v>2400</v>
      </c>
      <c r="G381" s="767" t="b">
        <f t="shared" si="11"/>
        <v>0</v>
      </c>
    </row>
    <row r="382" spans="1:7" ht="11.25" customHeight="1">
      <c r="A382" s="766" t="s">
        <v>2835</v>
      </c>
      <c r="B382" s="767" t="b">
        <f>AND('Список листов'!$B$42,'Список листов'!$B$43)</f>
        <v>1</v>
      </c>
      <c r="C382" s="768" t="e">
        <f>ROUND(#REF!,2)</f>
        <v>#REF!</v>
      </c>
      <c r="D382" s="768" t="e">
        <f>ROUND(#REF!,2)</f>
        <v>#REF!</v>
      </c>
      <c r="E382" s="766" t="s">
        <v>2836</v>
      </c>
      <c r="F382" s="766" t="s">
        <v>2400</v>
      </c>
      <c r="G382" s="767" t="b">
        <f t="shared" si="11"/>
        <v>0</v>
      </c>
    </row>
    <row r="383" spans="1:7" ht="11.25" customHeight="1">
      <c r="A383" s="766" t="s">
        <v>2837</v>
      </c>
      <c r="B383" s="767" t="b">
        <f>AND('Список листов'!$B$42,'Список листов'!$B$43)</f>
        <v>1</v>
      </c>
      <c r="C383" s="768" t="e">
        <f>ROUND(#REF!,2)</f>
        <v>#REF!</v>
      </c>
      <c r="D383" s="768" t="e">
        <f>ROUND(#REF!,2)</f>
        <v>#REF!</v>
      </c>
      <c r="E383" s="766" t="s">
        <v>2838</v>
      </c>
      <c r="F383" s="766" t="s">
        <v>2400</v>
      </c>
      <c r="G383" s="767" t="b">
        <f t="shared" ref="G383:G414" si="12">IFERROR(C383=D383,FALSE)</f>
        <v>0</v>
      </c>
    </row>
    <row r="384" spans="1:7" ht="11.25" customHeight="1">
      <c r="A384" s="766" t="s">
        <v>2839</v>
      </c>
      <c r="B384" s="767" t="b">
        <f>AND('Список листов'!$B$42,'Список листов'!$B$43)</f>
        <v>1</v>
      </c>
      <c r="C384" s="768" t="e">
        <f>ROUND(#REF!,2)</f>
        <v>#REF!</v>
      </c>
      <c r="D384" s="768" t="e">
        <f>ROUND(#REF!,2)</f>
        <v>#REF!</v>
      </c>
      <c r="E384" s="766" t="s">
        <v>2840</v>
      </c>
      <c r="F384" s="766" t="s">
        <v>2400</v>
      </c>
      <c r="G384" s="767" t="b">
        <f t="shared" si="12"/>
        <v>0</v>
      </c>
    </row>
    <row r="385" spans="1:7" ht="11.25" customHeight="1">
      <c r="A385" s="766" t="s">
        <v>2841</v>
      </c>
      <c r="B385" s="767" t="b">
        <f>AND('Список листов'!$B$42,'Список листов'!$B$43)</f>
        <v>1</v>
      </c>
      <c r="C385" s="768" t="e">
        <f>ROUND(#REF!,2)</f>
        <v>#REF!</v>
      </c>
      <c r="D385" s="768" t="e">
        <f>ROUND(#REF!,2)</f>
        <v>#REF!</v>
      </c>
      <c r="E385" s="766" t="s">
        <v>2842</v>
      </c>
      <c r="F385" s="766" t="s">
        <v>2400</v>
      </c>
      <c r="G385" s="767" t="b">
        <f t="shared" si="12"/>
        <v>0</v>
      </c>
    </row>
    <row r="386" spans="1:7" ht="11.25" customHeight="1">
      <c r="A386" s="766" t="s">
        <v>2843</v>
      </c>
      <c r="B386" s="767" t="b">
        <f>AND('Список листов'!$B$42,'Список листов'!$B$43)</f>
        <v>1</v>
      </c>
      <c r="C386" s="768" t="e">
        <f>ROUND(#REF!,2)</f>
        <v>#REF!</v>
      </c>
      <c r="D386" s="768" t="e">
        <f>ROUND(#REF!,2)</f>
        <v>#REF!</v>
      </c>
      <c r="E386" s="766" t="s">
        <v>2844</v>
      </c>
      <c r="F386" s="766" t="s">
        <v>2400</v>
      </c>
      <c r="G386" s="767" t="b">
        <f t="shared" si="12"/>
        <v>0</v>
      </c>
    </row>
    <row r="387" spans="1:7" ht="11.25" customHeight="1">
      <c r="A387" s="766" t="s">
        <v>2845</v>
      </c>
      <c r="B387" s="767" t="b">
        <f>AND('Список листов'!$B$42,'Список листов'!$B$43)</f>
        <v>1</v>
      </c>
      <c r="C387" s="768" t="e">
        <f>ROUND(#REF!,2)</f>
        <v>#REF!</v>
      </c>
      <c r="D387" s="768" t="e">
        <f>ROUND(#REF!,2)</f>
        <v>#REF!</v>
      </c>
      <c r="E387" s="766" t="s">
        <v>2846</v>
      </c>
      <c r="F387" s="766" t="s">
        <v>2400</v>
      </c>
      <c r="G387" s="767" t="b">
        <f t="shared" si="12"/>
        <v>0</v>
      </c>
    </row>
    <row r="388" spans="1:7" ht="11.25" customHeight="1">
      <c r="A388" s="766" t="s">
        <v>2847</v>
      </c>
      <c r="B388" s="767" t="b">
        <f>AND('Список листов'!$B$42,'Список листов'!$B$43)</f>
        <v>1</v>
      </c>
      <c r="C388" s="768" t="e">
        <f>ROUND(#REF!,2)</f>
        <v>#REF!</v>
      </c>
      <c r="D388" s="768" t="e">
        <f>ROUND(#REF!,2)</f>
        <v>#REF!</v>
      </c>
      <c r="E388" s="766" t="s">
        <v>2848</v>
      </c>
      <c r="F388" s="766" t="s">
        <v>2400</v>
      </c>
      <c r="G388" s="767" t="b">
        <f t="shared" si="12"/>
        <v>0</v>
      </c>
    </row>
    <row r="389" spans="1:7" ht="11.25" customHeight="1">
      <c r="A389" s="766" t="s">
        <v>2849</v>
      </c>
      <c r="B389" s="767" t="b">
        <f>AND('Список листов'!$B$42,'Список листов'!$B$43)</f>
        <v>1</v>
      </c>
      <c r="C389" s="768" t="e">
        <f>ROUND(#REF!,2)</f>
        <v>#REF!</v>
      </c>
      <c r="D389" s="768" t="e">
        <f>ROUND(#REF!,2)</f>
        <v>#REF!</v>
      </c>
      <c r="E389" s="766" t="s">
        <v>2820</v>
      </c>
      <c r="F389" s="766" t="s">
        <v>2400</v>
      </c>
      <c r="G389" s="767" t="b">
        <f t="shared" si="12"/>
        <v>0</v>
      </c>
    </row>
    <row r="390" spans="1:7" ht="11.25" customHeight="1">
      <c r="A390" s="766" t="s">
        <v>2850</v>
      </c>
      <c r="B390" s="767" t="b">
        <f>AND('Список листов'!$B$42,'Список листов'!$B$43)</f>
        <v>1</v>
      </c>
      <c r="C390" s="768" t="e">
        <f>ROUND(#REF!,2)</f>
        <v>#REF!</v>
      </c>
      <c r="D390" s="768" t="e">
        <f>ROUND(#REF!,2)</f>
        <v>#REF!</v>
      </c>
      <c r="E390" s="766" t="s">
        <v>2822</v>
      </c>
      <c r="F390" s="766" t="s">
        <v>2400</v>
      </c>
      <c r="G390" s="767" t="b">
        <f t="shared" si="12"/>
        <v>0</v>
      </c>
    </row>
    <row r="391" spans="1:7" ht="11.25" customHeight="1">
      <c r="A391" s="766" t="s">
        <v>2851</v>
      </c>
      <c r="B391" s="767" t="b">
        <f>AND('Список листов'!$B$42,'Список листов'!$B$43)</f>
        <v>1</v>
      </c>
      <c r="C391" s="768" t="e">
        <f>ROUND(#REF!,2)</f>
        <v>#REF!</v>
      </c>
      <c r="D391" s="768" t="e">
        <f>ROUND(#REF!,2)</f>
        <v>#REF!</v>
      </c>
      <c r="E391" s="766" t="s">
        <v>2824</v>
      </c>
      <c r="F391" s="766" t="s">
        <v>2400</v>
      </c>
      <c r="G391" s="767" t="b">
        <f t="shared" si="12"/>
        <v>0</v>
      </c>
    </row>
    <row r="392" spans="1:7" ht="11.25" customHeight="1">
      <c r="A392" s="766" t="s">
        <v>2852</v>
      </c>
      <c r="B392" s="767" t="b">
        <f>AND('Список листов'!$B$42,'Список листов'!$B$43)</f>
        <v>1</v>
      </c>
      <c r="C392" s="768" t="e">
        <f>ROUND(#REF!,2)</f>
        <v>#REF!</v>
      </c>
      <c r="D392" s="768" t="e">
        <f>ROUND(#REF!,2)</f>
        <v>#REF!</v>
      </c>
      <c r="E392" s="766" t="s">
        <v>2826</v>
      </c>
      <c r="F392" s="766" t="s">
        <v>2400</v>
      </c>
      <c r="G392" s="767" t="b">
        <f t="shared" si="12"/>
        <v>0</v>
      </c>
    </row>
    <row r="393" spans="1:7" ht="11.25" customHeight="1">
      <c r="A393" s="766" t="s">
        <v>2853</v>
      </c>
      <c r="B393" s="767" t="b">
        <f>AND('Список листов'!$B$42,'Список листов'!$B$43)</f>
        <v>1</v>
      </c>
      <c r="C393" s="768" t="e">
        <f>ROUND(#REF!,2)</f>
        <v>#REF!</v>
      </c>
      <c r="D393" s="768" t="e">
        <f>ROUND(#REF!,2)</f>
        <v>#REF!</v>
      </c>
      <c r="E393" s="766" t="s">
        <v>2828</v>
      </c>
      <c r="F393" s="766" t="s">
        <v>2400</v>
      </c>
      <c r="G393" s="767" t="b">
        <f t="shared" si="12"/>
        <v>0</v>
      </c>
    </row>
    <row r="394" spans="1:7" ht="11.25" customHeight="1">
      <c r="A394" s="766" t="s">
        <v>2854</v>
      </c>
      <c r="B394" s="767" t="b">
        <f>AND('Список листов'!$B$42,'Список листов'!$B$43)</f>
        <v>1</v>
      </c>
      <c r="C394" s="768" t="e">
        <f>ROUND(#REF!,2)</f>
        <v>#REF!</v>
      </c>
      <c r="D394" s="768" t="e">
        <f>ROUND(#REF!,2)</f>
        <v>#REF!</v>
      </c>
      <c r="E394" s="766" t="s">
        <v>2830</v>
      </c>
      <c r="F394" s="766" t="s">
        <v>2400</v>
      </c>
      <c r="G394" s="767" t="b">
        <f t="shared" si="12"/>
        <v>0</v>
      </c>
    </row>
    <row r="395" spans="1:7" ht="11.25" customHeight="1">
      <c r="A395" s="766" t="s">
        <v>2855</v>
      </c>
      <c r="B395" s="767" t="b">
        <f>AND('Список листов'!$B$42,'Список листов'!$B$43)</f>
        <v>1</v>
      </c>
      <c r="C395" s="768" t="e">
        <f>ROUND(#REF!,2)</f>
        <v>#REF!</v>
      </c>
      <c r="D395" s="768" t="e">
        <f>ROUND(#REF!,2)</f>
        <v>#REF!</v>
      </c>
      <c r="E395" s="766" t="s">
        <v>2832</v>
      </c>
      <c r="F395" s="766" t="s">
        <v>2400</v>
      </c>
      <c r="G395" s="767" t="b">
        <f t="shared" si="12"/>
        <v>0</v>
      </c>
    </row>
    <row r="396" spans="1:7" ht="11.25" customHeight="1">
      <c r="A396" s="766" t="s">
        <v>2856</v>
      </c>
      <c r="B396" s="767" t="b">
        <f>AND('Список листов'!$B$42,'Список листов'!$B$43)</f>
        <v>1</v>
      </c>
      <c r="C396" s="768" t="e">
        <f>ROUND(#REF!,2)</f>
        <v>#REF!</v>
      </c>
      <c r="D396" s="768" t="e">
        <f>ROUND(#REF!,2)</f>
        <v>#REF!</v>
      </c>
      <c r="E396" s="766" t="s">
        <v>2834</v>
      </c>
      <c r="F396" s="766" t="s">
        <v>2400</v>
      </c>
      <c r="G396" s="767" t="b">
        <f t="shared" si="12"/>
        <v>0</v>
      </c>
    </row>
    <row r="397" spans="1:7" ht="11.25" customHeight="1">
      <c r="A397" s="766" t="s">
        <v>2857</v>
      </c>
      <c r="B397" s="767" t="b">
        <f>AND('Список листов'!$B$42,'Список листов'!$B$43)</f>
        <v>1</v>
      </c>
      <c r="C397" s="768" t="e">
        <f>ROUND(#REF!,2)</f>
        <v>#REF!</v>
      </c>
      <c r="D397" s="768" t="e">
        <f>ROUND(#REF!,2)</f>
        <v>#REF!</v>
      </c>
      <c r="E397" s="766" t="s">
        <v>2836</v>
      </c>
      <c r="F397" s="766" t="s">
        <v>2400</v>
      </c>
      <c r="G397" s="767" t="b">
        <f t="shared" si="12"/>
        <v>0</v>
      </c>
    </row>
    <row r="398" spans="1:7" ht="11.25" customHeight="1">
      <c r="A398" s="766" t="s">
        <v>2858</v>
      </c>
      <c r="B398" s="767" t="b">
        <f>AND('Список листов'!$B$42,'Список листов'!$B$43)</f>
        <v>1</v>
      </c>
      <c r="C398" s="768" t="e">
        <f>ROUND(#REF!,2)</f>
        <v>#REF!</v>
      </c>
      <c r="D398" s="768" t="e">
        <f>ROUND(#REF!,2)</f>
        <v>#REF!</v>
      </c>
      <c r="E398" s="766" t="s">
        <v>2838</v>
      </c>
      <c r="F398" s="766" t="s">
        <v>2400</v>
      </c>
      <c r="G398" s="767" t="b">
        <f t="shared" si="12"/>
        <v>0</v>
      </c>
    </row>
    <row r="399" spans="1:7" ht="11.25" customHeight="1">
      <c r="A399" s="766" t="s">
        <v>2859</v>
      </c>
      <c r="B399" s="767" t="b">
        <f>AND('Список листов'!$B$42,'Список листов'!$B$43)</f>
        <v>1</v>
      </c>
      <c r="C399" s="768" t="e">
        <f>ROUND(#REF!,2)</f>
        <v>#REF!</v>
      </c>
      <c r="D399" s="768" t="e">
        <f>ROUND(#REF!,2)</f>
        <v>#REF!</v>
      </c>
      <c r="E399" s="766" t="s">
        <v>2840</v>
      </c>
      <c r="F399" s="766" t="s">
        <v>2400</v>
      </c>
      <c r="G399" s="767" t="b">
        <f t="shared" si="12"/>
        <v>0</v>
      </c>
    </row>
    <row r="400" spans="1:7" ht="11.25" customHeight="1">
      <c r="A400" s="766" t="s">
        <v>2860</v>
      </c>
      <c r="B400" s="767" t="b">
        <f>AND('Список листов'!$B$42,'Список листов'!$B$43)</f>
        <v>1</v>
      </c>
      <c r="C400" s="768" t="e">
        <f>ROUND(#REF!,2)</f>
        <v>#REF!</v>
      </c>
      <c r="D400" s="768" t="e">
        <f>ROUND(#REF!,2)</f>
        <v>#REF!</v>
      </c>
      <c r="E400" s="766" t="s">
        <v>2842</v>
      </c>
      <c r="F400" s="766" t="s">
        <v>2400</v>
      </c>
      <c r="G400" s="767" t="b">
        <f t="shared" si="12"/>
        <v>0</v>
      </c>
    </row>
    <row r="401" spans="1:7" ht="11.25" customHeight="1">
      <c r="A401" s="766" t="s">
        <v>2861</v>
      </c>
      <c r="B401" s="767" t="b">
        <f>AND('Список листов'!$B$42,'Список листов'!$B$43)</f>
        <v>1</v>
      </c>
      <c r="C401" s="768" t="e">
        <f>ROUND(#REF!,2)</f>
        <v>#REF!</v>
      </c>
      <c r="D401" s="768" t="e">
        <f>ROUND(#REF!,2)</f>
        <v>#REF!</v>
      </c>
      <c r="E401" s="766" t="s">
        <v>2844</v>
      </c>
      <c r="F401" s="766" t="s">
        <v>2400</v>
      </c>
      <c r="G401" s="767" t="b">
        <f t="shared" si="12"/>
        <v>0</v>
      </c>
    </row>
    <row r="402" spans="1:7" ht="11.25" customHeight="1">
      <c r="A402" s="766" t="s">
        <v>2862</v>
      </c>
      <c r="B402" s="767" t="b">
        <f>AND('Список листов'!$B$42,'Список листов'!$B$43)</f>
        <v>1</v>
      </c>
      <c r="C402" s="768" t="e">
        <f>ROUND(#REF!,2)</f>
        <v>#REF!</v>
      </c>
      <c r="D402" s="768" t="e">
        <f>ROUND(#REF!,2)</f>
        <v>#REF!</v>
      </c>
      <c r="E402" s="766" t="s">
        <v>2846</v>
      </c>
      <c r="F402" s="766" t="s">
        <v>2400</v>
      </c>
      <c r="G402" s="767" t="b">
        <f t="shared" si="12"/>
        <v>0</v>
      </c>
    </row>
    <row r="403" spans="1:7" ht="11.25" customHeight="1">
      <c r="A403" s="766" t="s">
        <v>2863</v>
      </c>
      <c r="B403" s="767" t="b">
        <f>AND('Список листов'!$B$42,'Список листов'!$B$43)</f>
        <v>1</v>
      </c>
      <c r="C403" s="768" t="e">
        <f>ROUND(#REF!,2)</f>
        <v>#REF!</v>
      </c>
      <c r="D403" s="768" t="e">
        <f>ROUND(#REF!,2)</f>
        <v>#REF!</v>
      </c>
      <c r="E403" s="766" t="s">
        <v>2848</v>
      </c>
      <c r="F403" s="766" t="s">
        <v>2400</v>
      </c>
      <c r="G403" s="767" t="b">
        <f t="shared" si="12"/>
        <v>0</v>
      </c>
    </row>
    <row r="404" spans="1:7" ht="11.25" customHeight="1">
      <c r="A404" s="766" t="s">
        <v>2864</v>
      </c>
      <c r="B404" s="767" t="b">
        <f>AND('Список листов'!$B$42,'Список листов'!$B$43)</f>
        <v>1</v>
      </c>
      <c r="C404" s="768" t="e">
        <f>ROUND(#REF!,2)</f>
        <v>#REF!</v>
      </c>
      <c r="D404" s="768" t="e">
        <f>ROUND(#REF!,2)</f>
        <v>#REF!</v>
      </c>
      <c r="E404" s="766" t="s">
        <v>2820</v>
      </c>
      <c r="F404" s="766" t="s">
        <v>2400</v>
      </c>
      <c r="G404" s="767" t="b">
        <f t="shared" si="12"/>
        <v>0</v>
      </c>
    </row>
    <row r="405" spans="1:7" ht="11.25" customHeight="1">
      <c r="A405" s="766" t="s">
        <v>2865</v>
      </c>
      <c r="B405" s="767" t="b">
        <f>AND('Список листов'!$B$42,'Список листов'!$B$43)</f>
        <v>1</v>
      </c>
      <c r="C405" s="768" t="e">
        <f>ROUND(#REF!,2)</f>
        <v>#REF!</v>
      </c>
      <c r="D405" s="768" t="e">
        <f>ROUND(#REF!,2)</f>
        <v>#REF!</v>
      </c>
      <c r="E405" s="766" t="s">
        <v>2822</v>
      </c>
      <c r="F405" s="766" t="s">
        <v>2400</v>
      </c>
      <c r="G405" s="767" t="b">
        <f t="shared" si="12"/>
        <v>0</v>
      </c>
    </row>
    <row r="406" spans="1:7" ht="11.25" customHeight="1">
      <c r="A406" s="766" t="s">
        <v>2866</v>
      </c>
      <c r="B406" s="767" t="b">
        <f>AND('Список листов'!$B$42,'Список листов'!$B$43)</f>
        <v>1</v>
      </c>
      <c r="C406" s="768" t="e">
        <f>ROUND(#REF!,2)</f>
        <v>#REF!</v>
      </c>
      <c r="D406" s="768" t="e">
        <f>ROUND(#REF!,2)</f>
        <v>#REF!</v>
      </c>
      <c r="E406" s="766" t="s">
        <v>2824</v>
      </c>
      <c r="F406" s="766" t="s">
        <v>2400</v>
      </c>
      <c r="G406" s="767" t="b">
        <f t="shared" si="12"/>
        <v>0</v>
      </c>
    </row>
    <row r="407" spans="1:7" ht="11.25" customHeight="1">
      <c r="A407" s="766" t="s">
        <v>2867</v>
      </c>
      <c r="B407" s="767" t="b">
        <f>AND('Список листов'!$B$42,'Список листов'!$B$43)</f>
        <v>1</v>
      </c>
      <c r="C407" s="768" t="e">
        <f>ROUND(#REF!,2)</f>
        <v>#REF!</v>
      </c>
      <c r="D407" s="768" t="e">
        <f>ROUND(#REF!,2)</f>
        <v>#REF!</v>
      </c>
      <c r="E407" s="766" t="s">
        <v>2826</v>
      </c>
      <c r="F407" s="766" t="s">
        <v>2400</v>
      </c>
      <c r="G407" s="767" t="b">
        <f t="shared" si="12"/>
        <v>0</v>
      </c>
    </row>
    <row r="408" spans="1:7" ht="11.25" customHeight="1">
      <c r="A408" s="766" t="s">
        <v>2868</v>
      </c>
      <c r="B408" s="767" t="b">
        <f>AND('Список листов'!$B$42,'Список листов'!$B$43)</f>
        <v>1</v>
      </c>
      <c r="C408" s="768" t="e">
        <f>ROUND(#REF!,2)</f>
        <v>#REF!</v>
      </c>
      <c r="D408" s="768" t="e">
        <f>ROUND(#REF!,2)</f>
        <v>#REF!</v>
      </c>
      <c r="E408" s="766" t="s">
        <v>2828</v>
      </c>
      <c r="F408" s="766" t="s">
        <v>2400</v>
      </c>
      <c r="G408" s="767" t="b">
        <f t="shared" si="12"/>
        <v>0</v>
      </c>
    </row>
    <row r="409" spans="1:7" ht="11.25" customHeight="1">
      <c r="A409" s="766" t="s">
        <v>2869</v>
      </c>
      <c r="B409" s="767" t="b">
        <f>AND('Список листов'!$B$42,'Список листов'!$B$43)</f>
        <v>1</v>
      </c>
      <c r="C409" s="768" t="e">
        <f>ROUND(#REF!,2)</f>
        <v>#REF!</v>
      </c>
      <c r="D409" s="768" t="e">
        <f>ROUND(#REF!,2)</f>
        <v>#REF!</v>
      </c>
      <c r="E409" s="766" t="s">
        <v>2830</v>
      </c>
      <c r="F409" s="766" t="s">
        <v>2400</v>
      </c>
      <c r="G409" s="767" t="b">
        <f t="shared" si="12"/>
        <v>0</v>
      </c>
    </row>
    <row r="410" spans="1:7" ht="11.25" customHeight="1">
      <c r="A410" s="766" t="s">
        <v>2870</v>
      </c>
      <c r="B410" s="767" t="b">
        <f>AND('Список листов'!$B$42,'Список листов'!$B$43)</f>
        <v>1</v>
      </c>
      <c r="C410" s="768" t="e">
        <f>ROUND(#REF!,2)</f>
        <v>#REF!</v>
      </c>
      <c r="D410" s="768" t="e">
        <f>ROUND(#REF!,2)</f>
        <v>#REF!</v>
      </c>
      <c r="E410" s="766" t="s">
        <v>2832</v>
      </c>
      <c r="F410" s="766" t="s">
        <v>2400</v>
      </c>
      <c r="G410" s="767" t="b">
        <f t="shared" si="12"/>
        <v>0</v>
      </c>
    </row>
    <row r="411" spans="1:7" ht="11.25" customHeight="1">
      <c r="A411" s="766" t="s">
        <v>2871</v>
      </c>
      <c r="B411" s="767" t="b">
        <f>AND('Список листов'!$B$42,'Список листов'!$B$43)</f>
        <v>1</v>
      </c>
      <c r="C411" s="768" t="e">
        <f>ROUND(#REF!,2)</f>
        <v>#REF!</v>
      </c>
      <c r="D411" s="768" t="e">
        <f>ROUND(#REF!,2)</f>
        <v>#REF!</v>
      </c>
      <c r="E411" s="766" t="s">
        <v>2834</v>
      </c>
      <c r="F411" s="766" t="s">
        <v>2400</v>
      </c>
      <c r="G411" s="767" t="b">
        <f t="shared" si="12"/>
        <v>0</v>
      </c>
    </row>
    <row r="412" spans="1:7" ht="11.25" customHeight="1">
      <c r="A412" s="766" t="s">
        <v>2872</v>
      </c>
      <c r="B412" s="767" t="b">
        <f>AND('Список листов'!$B$42,'Список листов'!$B$43)</f>
        <v>1</v>
      </c>
      <c r="C412" s="768" t="e">
        <f>ROUND(#REF!,2)</f>
        <v>#REF!</v>
      </c>
      <c r="D412" s="768" t="e">
        <f>ROUND(#REF!,2)</f>
        <v>#REF!</v>
      </c>
      <c r="E412" s="766" t="s">
        <v>2836</v>
      </c>
      <c r="F412" s="766" t="s">
        <v>2400</v>
      </c>
      <c r="G412" s="767" t="b">
        <f t="shared" si="12"/>
        <v>0</v>
      </c>
    </row>
    <row r="413" spans="1:7" ht="11.25" customHeight="1">
      <c r="A413" s="766" t="s">
        <v>2873</v>
      </c>
      <c r="B413" s="767" t="b">
        <f>AND('Список листов'!$B$42,'Список листов'!$B$43)</f>
        <v>1</v>
      </c>
      <c r="C413" s="768" t="e">
        <f>ROUND(#REF!,2)</f>
        <v>#REF!</v>
      </c>
      <c r="D413" s="768" t="e">
        <f>ROUND(#REF!,2)</f>
        <v>#REF!</v>
      </c>
      <c r="E413" s="766" t="s">
        <v>2838</v>
      </c>
      <c r="F413" s="766" t="s">
        <v>2400</v>
      </c>
      <c r="G413" s="767" t="b">
        <f t="shared" si="12"/>
        <v>0</v>
      </c>
    </row>
    <row r="414" spans="1:7" ht="11.25" customHeight="1">
      <c r="A414" s="766" t="s">
        <v>2874</v>
      </c>
      <c r="B414" s="767" t="b">
        <f>AND('Список листов'!$B$42,'Список листов'!$B$43)</f>
        <v>1</v>
      </c>
      <c r="C414" s="768" t="e">
        <f>ROUND(#REF!,2)</f>
        <v>#REF!</v>
      </c>
      <c r="D414" s="768" t="e">
        <f>ROUND(#REF!,2)</f>
        <v>#REF!</v>
      </c>
      <c r="E414" s="766" t="s">
        <v>2840</v>
      </c>
      <c r="F414" s="766" t="s">
        <v>2400</v>
      </c>
      <c r="G414" s="767" t="b">
        <f t="shared" si="12"/>
        <v>0</v>
      </c>
    </row>
    <row r="415" spans="1:7" ht="11.25" customHeight="1">
      <c r="A415" s="766" t="s">
        <v>2875</v>
      </c>
      <c r="B415" s="767" t="b">
        <f>AND('Список листов'!$B$42,'Список листов'!$B$43)</f>
        <v>1</v>
      </c>
      <c r="C415" s="768" t="e">
        <f>ROUND(#REF!,2)</f>
        <v>#REF!</v>
      </c>
      <c r="D415" s="768" t="e">
        <f>ROUND(#REF!,2)</f>
        <v>#REF!</v>
      </c>
      <c r="E415" s="766" t="s">
        <v>2842</v>
      </c>
      <c r="F415" s="766" t="s">
        <v>2400</v>
      </c>
      <c r="G415" s="767" t="b">
        <f t="shared" ref="G415:G446" si="13">IFERROR(C415=D415,FALSE)</f>
        <v>0</v>
      </c>
    </row>
    <row r="416" spans="1:7" ht="11.25" customHeight="1">
      <c r="A416" s="766" t="s">
        <v>2876</v>
      </c>
      <c r="B416" s="767" t="b">
        <f>AND('Список листов'!$B$42,'Список листов'!$B$43)</f>
        <v>1</v>
      </c>
      <c r="C416" s="768" t="e">
        <f>ROUND(#REF!,2)</f>
        <v>#REF!</v>
      </c>
      <c r="D416" s="768" t="e">
        <f>ROUND(#REF!,2)</f>
        <v>#REF!</v>
      </c>
      <c r="E416" s="766" t="s">
        <v>2844</v>
      </c>
      <c r="F416" s="766" t="s">
        <v>2400</v>
      </c>
      <c r="G416" s="767" t="b">
        <f t="shared" si="13"/>
        <v>0</v>
      </c>
    </row>
    <row r="417" spans="1:7" ht="11.25" customHeight="1">
      <c r="A417" s="766" t="s">
        <v>2877</v>
      </c>
      <c r="B417" s="767" t="b">
        <f>AND('Список листов'!$B$42,'Список листов'!$B$43)</f>
        <v>1</v>
      </c>
      <c r="C417" s="768" t="e">
        <f>ROUND(#REF!,2)</f>
        <v>#REF!</v>
      </c>
      <c r="D417" s="768" t="e">
        <f>ROUND(#REF!,2)</f>
        <v>#REF!</v>
      </c>
      <c r="E417" s="766" t="s">
        <v>2846</v>
      </c>
      <c r="F417" s="766" t="s">
        <v>2400</v>
      </c>
      <c r="G417" s="767" t="b">
        <f t="shared" si="13"/>
        <v>0</v>
      </c>
    </row>
    <row r="418" spans="1:7" ht="11.25" customHeight="1">
      <c r="A418" s="766" t="s">
        <v>2878</v>
      </c>
      <c r="B418" s="767" t="b">
        <f>AND('Список листов'!$B$42,'Список листов'!$B$43)</f>
        <v>1</v>
      </c>
      <c r="C418" s="768" t="e">
        <f>ROUND(#REF!,2)</f>
        <v>#REF!</v>
      </c>
      <c r="D418" s="768" t="e">
        <f>ROUND(#REF!,2)</f>
        <v>#REF!</v>
      </c>
      <c r="E418" s="766" t="s">
        <v>2848</v>
      </c>
      <c r="F418" s="766" t="s">
        <v>2400</v>
      </c>
      <c r="G418" s="767" t="b">
        <f t="shared" si="13"/>
        <v>0</v>
      </c>
    </row>
    <row r="419" spans="1:7" ht="11.25" customHeight="1">
      <c r="A419" s="766" t="s">
        <v>2879</v>
      </c>
      <c r="B419" s="767" t="b">
        <f>AND('Список листов'!$B$42,'Список листов'!$B$43)</f>
        <v>1</v>
      </c>
      <c r="C419" s="768" t="e">
        <f>ROUND(#REF!,2)</f>
        <v>#REF!</v>
      </c>
      <c r="D419" s="768" t="e">
        <f>ROUND(#REF!,2)</f>
        <v>#REF!</v>
      </c>
      <c r="E419" s="766" t="s">
        <v>2820</v>
      </c>
      <c r="F419" s="766" t="s">
        <v>2400</v>
      </c>
      <c r="G419" s="767" t="b">
        <f t="shared" si="13"/>
        <v>0</v>
      </c>
    </row>
    <row r="420" spans="1:7" ht="11.25" customHeight="1">
      <c r="A420" s="766" t="s">
        <v>2880</v>
      </c>
      <c r="B420" s="767" t="b">
        <f>AND('Список листов'!$B$42,'Список листов'!$B$43)</f>
        <v>1</v>
      </c>
      <c r="C420" s="768" t="e">
        <f>ROUND(#REF!,2)</f>
        <v>#REF!</v>
      </c>
      <c r="D420" s="768" t="e">
        <f>ROUND(#REF!,2)</f>
        <v>#REF!</v>
      </c>
      <c r="E420" s="766" t="s">
        <v>2822</v>
      </c>
      <c r="F420" s="766" t="s">
        <v>2400</v>
      </c>
      <c r="G420" s="767" t="b">
        <f t="shared" si="13"/>
        <v>0</v>
      </c>
    </row>
    <row r="421" spans="1:7" ht="11.25" customHeight="1">
      <c r="A421" s="766" t="s">
        <v>2881</v>
      </c>
      <c r="B421" s="767" t="b">
        <f>AND('Список листов'!$B$42,'Список листов'!$B$43)</f>
        <v>1</v>
      </c>
      <c r="C421" s="768" t="e">
        <f>ROUND(#REF!,2)</f>
        <v>#REF!</v>
      </c>
      <c r="D421" s="768" t="e">
        <f>ROUND(#REF!,2)</f>
        <v>#REF!</v>
      </c>
      <c r="E421" s="766" t="s">
        <v>2824</v>
      </c>
      <c r="F421" s="766" t="s">
        <v>2400</v>
      </c>
      <c r="G421" s="767" t="b">
        <f t="shared" si="13"/>
        <v>0</v>
      </c>
    </row>
    <row r="422" spans="1:7" ht="11.25" customHeight="1">
      <c r="A422" s="766" t="s">
        <v>2882</v>
      </c>
      <c r="B422" s="767" t="b">
        <f>AND('Список листов'!$B$42,'Список листов'!$B$43)</f>
        <v>1</v>
      </c>
      <c r="C422" s="768" t="e">
        <f>ROUND(#REF!,2)</f>
        <v>#REF!</v>
      </c>
      <c r="D422" s="768" t="e">
        <f>ROUND(#REF!,2)</f>
        <v>#REF!</v>
      </c>
      <c r="E422" s="766" t="s">
        <v>2826</v>
      </c>
      <c r="F422" s="766" t="s">
        <v>2400</v>
      </c>
      <c r="G422" s="767" t="b">
        <f t="shared" si="13"/>
        <v>0</v>
      </c>
    </row>
    <row r="423" spans="1:7" ht="11.25" customHeight="1">
      <c r="A423" s="766" t="s">
        <v>2883</v>
      </c>
      <c r="B423" s="767" t="b">
        <f>AND('Список листов'!$B$42,'Список листов'!$B$43)</f>
        <v>1</v>
      </c>
      <c r="C423" s="768" t="e">
        <f>ROUND(#REF!,2)</f>
        <v>#REF!</v>
      </c>
      <c r="D423" s="768" t="e">
        <f>ROUND(#REF!,2)</f>
        <v>#REF!</v>
      </c>
      <c r="E423" s="766" t="s">
        <v>2828</v>
      </c>
      <c r="F423" s="766" t="s">
        <v>2400</v>
      </c>
      <c r="G423" s="767" t="b">
        <f t="shared" si="13"/>
        <v>0</v>
      </c>
    </row>
    <row r="424" spans="1:7" ht="11.25" customHeight="1">
      <c r="A424" s="766" t="s">
        <v>2884</v>
      </c>
      <c r="B424" s="767" t="b">
        <f>AND('Список листов'!$B$42,'Список листов'!$B$43)</f>
        <v>1</v>
      </c>
      <c r="C424" s="768" t="e">
        <f>ROUND(#REF!,2)</f>
        <v>#REF!</v>
      </c>
      <c r="D424" s="768" t="e">
        <f>ROUND(#REF!,2)</f>
        <v>#REF!</v>
      </c>
      <c r="E424" s="766" t="s">
        <v>2830</v>
      </c>
      <c r="F424" s="766" t="s">
        <v>2400</v>
      </c>
      <c r="G424" s="767" t="b">
        <f t="shared" si="13"/>
        <v>0</v>
      </c>
    </row>
    <row r="425" spans="1:7" ht="11.25" customHeight="1">
      <c r="A425" s="766" t="s">
        <v>2885</v>
      </c>
      <c r="B425" s="767" t="b">
        <f>AND('Список листов'!$B$42,'Список листов'!$B$43)</f>
        <v>1</v>
      </c>
      <c r="C425" s="768" t="e">
        <f>ROUND(#REF!,2)</f>
        <v>#REF!</v>
      </c>
      <c r="D425" s="768" t="e">
        <f>ROUND(#REF!,2)</f>
        <v>#REF!</v>
      </c>
      <c r="E425" s="766" t="s">
        <v>2832</v>
      </c>
      <c r="F425" s="766" t="s">
        <v>2400</v>
      </c>
      <c r="G425" s="767" t="b">
        <f t="shared" si="13"/>
        <v>0</v>
      </c>
    </row>
    <row r="426" spans="1:7" ht="11.25" customHeight="1">
      <c r="A426" s="766" t="s">
        <v>2886</v>
      </c>
      <c r="B426" s="767" t="b">
        <f>AND('Список листов'!$B$42,'Список листов'!$B$43)</f>
        <v>1</v>
      </c>
      <c r="C426" s="768" t="e">
        <f>ROUND(#REF!,2)</f>
        <v>#REF!</v>
      </c>
      <c r="D426" s="768" t="e">
        <f>ROUND(#REF!,2)</f>
        <v>#REF!</v>
      </c>
      <c r="E426" s="766" t="s">
        <v>2834</v>
      </c>
      <c r="F426" s="766" t="s">
        <v>2400</v>
      </c>
      <c r="G426" s="767" t="b">
        <f t="shared" si="13"/>
        <v>0</v>
      </c>
    </row>
    <row r="427" spans="1:7" ht="11.25" customHeight="1">
      <c r="A427" s="766" t="s">
        <v>2887</v>
      </c>
      <c r="B427" s="767" t="b">
        <f>AND('Список листов'!$B$42,'Список листов'!$B$43)</f>
        <v>1</v>
      </c>
      <c r="C427" s="768" t="e">
        <f>ROUND(#REF!,2)</f>
        <v>#REF!</v>
      </c>
      <c r="D427" s="768" t="e">
        <f>ROUND(#REF!,2)</f>
        <v>#REF!</v>
      </c>
      <c r="E427" s="766" t="s">
        <v>2836</v>
      </c>
      <c r="F427" s="766" t="s">
        <v>2400</v>
      </c>
      <c r="G427" s="767" t="b">
        <f t="shared" si="13"/>
        <v>0</v>
      </c>
    </row>
    <row r="428" spans="1:7" ht="11.25" customHeight="1">
      <c r="A428" s="766" t="s">
        <v>2888</v>
      </c>
      <c r="B428" s="767" t="b">
        <f>AND('Список листов'!$B$42,'Список листов'!$B$43)</f>
        <v>1</v>
      </c>
      <c r="C428" s="768" t="e">
        <f>ROUND(#REF!,2)</f>
        <v>#REF!</v>
      </c>
      <c r="D428" s="768" t="e">
        <f>ROUND(#REF!,2)</f>
        <v>#REF!</v>
      </c>
      <c r="E428" s="766" t="s">
        <v>2838</v>
      </c>
      <c r="F428" s="766" t="s">
        <v>2400</v>
      </c>
      <c r="G428" s="767" t="b">
        <f t="shared" si="13"/>
        <v>0</v>
      </c>
    </row>
    <row r="429" spans="1:7" ht="11.25" customHeight="1">
      <c r="A429" s="766" t="s">
        <v>2889</v>
      </c>
      <c r="B429" s="767" t="b">
        <f>AND('Список листов'!$B$42,'Список листов'!$B$43)</f>
        <v>1</v>
      </c>
      <c r="C429" s="768" t="e">
        <f>ROUND(#REF!,2)</f>
        <v>#REF!</v>
      </c>
      <c r="D429" s="768" t="e">
        <f>ROUND(#REF!,2)</f>
        <v>#REF!</v>
      </c>
      <c r="E429" s="766" t="s">
        <v>2840</v>
      </c>
      <c r="F429" s="766" t="s">
        <v>2400</v>
      </c>
      <c r="G429" s="767" t="b">
        <f t="shared" si="13"/>
        <v>0</v>
      </c>
    </row>
    <row r="430" spans="1:7" ht="11.25" customHeight="1">
      <c r="A430" s="766" t="s">
        <v>2890</v>
      </c>
      <c r="B430" s="767" t="b">
        <f>AND('Список листов'!$B$42,'Список листов'!$B$43)</f>
        <v>1</v>
      </c>
      <c r="C430" s="768" t="e">
        <f>ROUND(#REF!,2)</f>
        <v>#REF!</v>
      </c>
      <c r="D430" s="768" t="e">
        <f>ROUND(#REF!,2)</f>
        <v>#REF!</v>
      </c>
      <c r="E430" s="766" t="s">
        <v>2842</v>
      </c>
      <c r="F430" s="766" t="s">
        <v>2400</v>
      </c>
      <c r="G430" s="767" t="b">
        <f t="shared" si="13"/>
        <v>0</v>
      </c>
    </row>
    <row r="431" spans="1:7" ht="11.25" customHeight="1">
      <c r="A431" s="766" t="s">
        <v>2891</v>
      </c>
      <c r="B431" s="767" t="b">
        <f>AND('Список листов'!$B$42,'Список листов'!$B$43)</f>
        <v>1</v>
      </c>
      <c r="C431" s="768" t="e">
        <f>ROUND(#REF!,2)</f>
        <v>#REF!</v>
      </c>
      <c r="D431" s="768" t="e">
        <f>ROUND(#REF!,2)</f>
        <v>#REF!</v>
      </c>
      <c r="E431" s="766" t="s">
        <v>2844</v>
      </c>
      <c r="F431" s="766" t="s">
        <v>2400</v>
      </c>
      <c r="G431" s="767" t="b">
        <f t="shared" si="13"/>
        <v>0</v>
      </c>
    </row>
    <row r="432" spans="1:7" ht="11.25" customHeight="1">
      <c r="A432" s="766" t="s">
        <v>2892</v>
      </c>
      <c r="B432" s="767" t="b">
        <f>AND('Список листов'!$B$42,'Список листов'!$B$43)</f>
        <v>1</v>
      </c>
      <c r="C432" s="768" t="e">
        <f>ROUND(#REF!,2)</f>
        <v>#REF!</v>
      </c>
      <c r="D432" s="768" t="e">
        <f>ROUND(#REF!,2)</f>
        <v>#REF!</v>
      </c>
      <c r="E432" s="766" t="s">
        <v>2846</v>
      </c>
      <c r="F432" s="766" t="s">
        <v>2400</v>
      </c>
      <c r="G432" s="767" t="b">
        <f t="shared" si="13"/>
        <v>0</v>
      </c>
    </row>
    <row r="433" spans="1:19" ht="11.25" customHeight="1">
      <c r="A433" s="766" t="s">
        <v>2893</v>
      </c>
      <c r="B433" s="767" t="b">
        <f>AND('Список листов'!$B$42,'Список листов'!$B$43)</f>
        <v>1</v>
      </c>
      <c r="C433" s="768" t="e">
        <f>ROUND(#REF!,2)</f>
        <v>#REF!</v>
      </c>
      <c r="D433" s="768" t="e">
        <f>ROUND(#REF!,2)</f>
        <v>#REF!</v>
      </c>
      <c r="E433" s="766" t="s">
        <v>2848</v>
      </c>
      <c r="F433" s="766" t="s">
        <v>2400</v>
      </c>
      <c r="G433" s="767" t="b">
        <f t="shared" si="13"/>
        <v>0</v>
      </c>
    </row>
    <row r="434" spans="1:19" ht="11.25" customHeight="1">
      <c r="A434" s="766" t="s">
        <v>2894</v>
      </c>
      <c r="B434" s="767" t="b">
        <f>AND('Список листов'!$B$42,'Список листов'!$B$43)</f>
        <v>1</v>
      </c>
      <c r="C434" s="768" t="e">
        <f>ROUND(#REF!,2)</f>
        <v>#REF!</v>
      </c>
      <c r="D434" s="768" t="e">
        <f>ROUND(#REF!,2)</f>
        <v>#REF!</v>
      </c>
      <c r="E434" s="766" t="s">
        <v>2671</v>
      </c>
      <c r="F434" s="766" t="s">
        <v>2400</v>
      </c>
      <c r="G434" s="767" t="b">
        <f t="shared" si="13"/>
        <v>0</v>
      </c>
    </row>
    <row r="435" spans="1:19" ht="11.25" customHeight="1">
      <c r="A435" s="761" t="s">
        <v>637</v>
      </c>
      <c r="B435" s="762" t="b">
        <f>'Список листов'!$B$53</f>
        <v>1</v>
      </c>
      <c r="C435" s="765" t="e">
        <f>ROUND(#REF!,2)</f>
        <v>#REF!</v>
      </c>
      <c r="D435" s="763" t="e">
        <f>ROUND(SUM(#REF!,#REF!,#REF!),2)</f>
        <v>#REF!</v>
      </c>
      <c r="E435" s="761" t="s">
        <v>2895</v>
      </c>
      <c r="F435" s="761" t="s">
        <v>2400</v>
      </c>
      <c r="G435" s="764" t="b">
        <f t="shared" si="13"/>
        <v>0</v>
      </c>
      <c r="K435" s="769" t="s">
        <v>637</v>
      </c>
      <c r="L435" s="770" t="str">
        <f t="shared" ref="L435:L452" si="14">IFERROR(IF(REGION_NAME="Красноярский край","NO_CHECK","CHECK"),"CHECK")</f>
        <v>CHECK</v>
      </c>
      <c r="M435" s="771"/>
      <c r="N435" s="772"/>
      <c r="O435" s="769" t="s">
        <v>494</v>
      </c>
      <c r="P435" s="769"/>
      <c r="Q435" s="769" t="s">
        <v>2896</v>
      </c>
      <c r="R435" s="769" t="s">
        <v>2400</v>
      </c>
      <c r="S435" s="770" t="str">
        <f t="shared" ref="S435:S446" si="15">IFERROR(IF(AND(OR(M435=TRUE,M435=0),L435="CHECK"),"NO_ERROR","ERROR"),0)</f>
        <v>NO_ERROR</v>
      </c>
    </row>
    <row r="436" spans="1:19" ht="11.25" customHeight="1">
      <c r="A436" s="761" t="s">
        <v>642</v>
      </c>
      <c r="B436" s="762" t="b">
        <f>AND('Список листов'!$B$53,REPORT_OWNER="Версия регулятора")</f>
        <v>0</v>
      </c>
      <c r="C436" s="765" t="e">
        <f>ROUND(#REF!,2)</f>
        <v>#REF!</v>
      </c>
      <c r="D436" s="765" t="e">
        <f>ROUND(SUM(#REF!,#REF!,#REF!),2)</f>
        <v>#REF!</v>
      </c>
      <c r="E436" s="761" t="s">
        <v>2895</v>
      </c>
      <c r="F436" s="761" t="s">
        <v>2400</v>
      </c>
      <c r="G436" s="764" t="b">
        <f t="shared" si="13"/>
        <v>0</v>
      </c>
      <c r="K436" s="769" t="s">
        <v>642</v>
      </c>
      <c r="L436" s="770" t="str">
        <f t="shared" si="14"/>
        <v>CHECK</v>
      </c>
      <c r="M436" s="771"/>
      <c r="N436" s="772"/>
      <c r="O436" s="769" t="s">
        <v>494</v>
      </c>
      <c r="P436" s="769"/>
      <c r="Q436" s="769" t="s">
        <v>2897</v>
      </c>
      <c r="R436" s="769" t="s">
        <v>2400</v>
      </c>
      <c r="S436" s="770" t="str">
        <f t="shared" si="15"/>
        <v>NO_ERROR</v>
      </c>
    </row>
    <row r="437" spans="1:19" ht="11.25" customHeight="1">
      <c r="A437" s="761" t="s">
        <v>647</v>
      </c>
      <c r="B437" s="762" t="b">
        <f>'Список листов'!$B$53</f>
        <v>1</v>
      </c>
      <c r="C437" s="765" t="e">
        <f>ROUND(#REF!,2)</f>
        <v>#REF!</v>
      </c>
      <c r="D437" s="765" t="e">
        <f>ROUND(SUM(#REF!,#REF!,#REF!),2)</f>
        <v>#REF!</v>
      </c>
      <c r="E437" s="761" t="s">
        <v>2895</v>
      </c>
      <c r="F437" s="761" t="s">
        <v>2400</v>
      </c>
      <c r="G437" s="764" t="b">
        <f t="shared" si="13"/>
        <v>0</v>
      </c>
      <c r="K437" s="769" t="s">
        <v>647</v>
      </c>
      <c r="L437" s="770" t="str">
        <f t="shared" si="14"/>
        <v>CHECK</v>
      </c>
      <c r="M437" s="771"/>
      <c r="N437" s="772"/>
      <c r="O437" s="769" t="s">
        <v>494</v>
      </c>
      <c r="P437" s="769"/>
      <c r="Q437" s="769" t="s">
        <v>2898</v>
      </c>
      <c r="R437" s="769" t="s">
        <v>2400</v>
      </c>
      <c r="S437" s="770" t="str">
        <f t="shared" si="15"/>
        <v>NO_ERROR</v>
      </c>
    </row>
    <row r="438" spans="1:19" ht="11.25" customHeight="1">
      <c r="A438" s="761" t="s">
        <v>652</v>
      </c>
      <c r="B438" s="762" t="b">
        <f>AND('Список листов'!$B$53,REPORT_OWNER="Версия регулятора")</f>
        <v>0</v>
      </c>
      <c r="C438" s="765" t="e">
        <f>ROUND(#REF!,2)</f>
        <v>#REF!</v>
      </c>
      <c r="D438" s="765" t="e">
        <f>ROUND(SUM(#REF!,#REF!,#REF!),2)</f>
        <v>#REF!</v>
      </c>
      <c r="E438" s="761" t="s">
        <v>2895</v>
      </c>
      <c r="F438" s="761" t="s">
        <v>2400</v>
      </c>
      <c r="G438" s="764" t="b">
        <f t="shared" si="13"/>
        <v>0</v>
      </c>
      <c r="K438" s="769" t="s">
        <v>652</v>
      </c>
      <c r="L438" s="770" t="str">
        <f t="shared" si="14"/>
        <v>CHECK</v>
      </c>
      <c r="M438" s="771"/>
      <c r="N438" s="772"/>
      <c r="O438" s="769" t="s">
        <v>494</v>
      </c>
      <c r="P438" s="769"/>
      <c r="Q438" s="769" t="s">
        <v>2899</v>
      </c>
      <c r="R438" s="769" t="s">
        <v>2400</v>
      </c>
      <c r="S438" s="770" t="str">
        <f t="shared" si="15"/>
        <v>NO_ERROR</v>
      </c>
    </row>
    <row r="439" spans="1:19" ht="11.25" customHeight="1">
      <c r="A439" s="761" t="s">
        <v>656</v>
      </c>
      <c r="B439" s="762" t="b">
        <f>'Список листов'!$B$53</f>
        <v>1</v>
      </c>
      <c r="C439" s="765" t="e">
        <f>ROUND(#REF!,2)</f>
        <v>#REF!</v>
      </c>
      <c r="D439" s="765" t="e">
        <f>ROUND(SUM(#REF!,#REF!,#REF!),2)</f>
        <v>#REF!</v>
      </c>
      <c r="E439" s="761" t="s">
        <v>2895</v>
      </c>
      <c r="F439" s="761" t="s">
        <v>2400</v>
      </c>
      <c r="G439" s="764" t="b">
        <f t="shared" si="13"/>
        <v>0</v>
      </c>
      <c r="K439" s="769" t="s">
        <v>656</v>
      </c>
      <c r="L439" s="770" t="str">
        <f t="shared" si="14"/>
        <v>CHECK</v>
      </c>
      <c r="M439" s="771"/>
      <c r="N439" s="772"/>
      <c r="O439" s="769" t="s">
        <v>494</v>
      </c>
      <c r="P439" s="769"/>
      <c r="Q439" s="769" t="s">
        <v>2900</v>
      </c>
      <c r="R439" s="769" t="s">
        <v>2400</v>
      </c>
      <c r="S439" s="770" t="str">
        <f t="shared" si="15"/>
        <v>NO_ERROR</v>
      </c>
    </row>
    <row r="440" spans="1:19" ht="11.25" customHeight="1">
      <c r="A440" s="761" t="s">
        <v>912</v>
      </c>
      <c r="B440" s="762" t="b">
        <f>AND('Список листов'!$B$53,REPORT_OWNER="Версия регулятора")</f>
        <v>0</v>
      </c>
      <c r="C440" s="765" t="e">
        <f>ROUND(#REF!,2)</f>
        <v>#REF!</v>
      </c>
      <c r="D440" s="765" t="e">
        <f>ROUND(SUM(#REF!,#REF!,#REF!),2)</f>
        <v>#REF!</v>
      </c>
      <c r="E440" s="761" t="s">
        <v>2895</v>
      </c>
      <c r="F440" s="761" t="s">
        <v>2400</v>
      </c>
      <c r="G440" s="764" t="b">
        <f t="shared" si="13"/>
        <v>0</v>
      </c>
      <c r="K440" s="769" t="s">
        <v>912</v>
      </c>
      <c r="L440" s="770" t="str">
        <f t="shared" si="14"/>
        <v>CHECK</v>
      </c>
      <c r="M440" s="771"/>
      <c r="N440" s="772"/>
      <c r="O440" s="769" t="s">
        <v>494</v>
      </c>
      <c r="P440" s="769"/>
      <c r="Q440" s="769" t="s">
        <v>2901</v>
      </c>
      <c r="R440" s="769" t="s">
        <v>2400</v>
      </c>
      <c r="S440" s="770" t="str">
        <f t="shared" si="15"/>
        <v>NO_ERROR</v>
      </c>
    </row>
    <row r="441" spans="1:19" ht="11.25" customHeight="1">
      <c r="A441" s="766" t="s">
        <v>665</v>
      </c>
      <c r="B441" s="767" t="b">
        <f>'Список листов'!$B$54</f>
        <v>1</v>
      </c>
      <c r="C441" s="768" t="e">
        <f>ROUND(#REF!,2)</f>
        <v>#REF!</v>
      </c>
      <c r="D441" s="768" t="e">
        <f>ROUND(SUM(#REF!,#REF!,#REF!),2)</f>
        <v>#REF!</v>
      </c>
      <c r="E441" s="766" t="s">
        <v>2902</v>
      </c>
      <c r="F441" s="766" t="s">
        <v>2400</v>
      </c>
      <c r="G441" s="767" t="b">
        <f t="shared" si="13"/>
        <v>0</v>
      </c>
      <c r="K441" s="769" t="s">
        <v>913</v>
      </c>
      <c r="L441" s="770" t="str">
        <f t="shared" si="14"/>
        <v>CHECK</v>
      </c>
      <c r="M441" s="771"/>
      <c r="N441" s="772"/>
      <c r="O441" s="769" t="s">
        <v>494</v>
      </c>
      <c r="P441" s="769"/>
      <c r="Q441" s="769" t="s">
        <v>2896</v>
      </c>
      <c r="R441" s="769" t="s">
        <v>2400</v>
      </c>
      <c r="S441" s="770" t="str">
        <f t="shared" si="15"/>
        <v>NO_ERROR</v>
      </c>
    </row>
    <row r="442" spans="1:19" ht="11.25" customHeight="1">
      <c r="A442" s="766" t="s">
        <v>679</v>
      </c>
      <c r="B442" s="767" t="b">
        <f>AND('Список листов'!$B$54,REPORT_OWNER="Версия регулятора")</f>
        <v>0</v>
      </c>
      <c r="C442" s="768" t="e">
        <f>ROUND(#REF!,2)</f>
        <v>#REF!</v>
      </c>
      <c r="D442" s="768" t="e">
        <f>ROUND(SUM(#REF!,#REF!,#REF!),2)</f>
        <v>#REF!</v>
      </c>
      <c r="E442" s="766" t="s">
        <v>2902</v>
      </c>
      <c r="F442" s="766" t="s">
        <v>2400</v>
      </c>
      <c r="G442" s="767" t="b">
        <f t="shared" si="13"/>
        <v>0</v>
      </c>
      <c r="K442" s="769" t="s">
        <v>914</v>
      </c>
      <c r="L442" s="770" t="str">
        <f t="shared" si="14"/>
        <v>CHECK</v>
      </c>
      <c r="M442" s="771"/>
      <c r="N442" s="772"/>
      <c r="O442" s="769" t="s">
        <v>494</v>
      </c>
      <c r="P442" s="769"/>
      <c r="Q442" s="769" t="s">
        <v>2897</v>
      </c>
      <c r="R442" s="769" t="s">
        <v>2400</v>
      </c>
      <c r="S442" s="770" t="str">
        <f t="shared" si="15"/>
        <v>NO_ERROR</v>
      </c>
    </row>
    <row r="443" spans="1:19" ht="11.25" customHeight="1">
      <c r="A443" s="766" t="s">
        <v>683</v>
      </c>
      <c r="B443" s="767" t="b">
        <f>'Список листов'!$B$54</f>
        <v>1</v>
      </c>
      <c r="C443" s="768" t="e">
        <f>ROUND(#REF!,2)</f>
        <v>#REF!</v>
      </c>
      <c r="D443" s="768" t="e">
        <f>ROUND(SUM(#REF!,#REF!,#REF!),2)</f>
        <v>#REF!</v>
      </c>
      <c r="E443" s="766" t="s">
        <v>2902</v>
      </c>
      <c r="F443" s="766" t="s">
        <v>2400</v>
      </c>
      <c r="G443" s="767" t="b">
        <f t="shared" si="13"/>
        <v>0</v>
      </c>
      <c r="K443" s="769" t="s">
        <v>915</v>
      </c>
      <c r="L443" s="770" t="str">
        <f t="shared" si="14"/>
        <v>CHECK</v>
      </c>
      <c r="M443" s="771"/>
      <c r="N443" s="772"/>
      <c r="O443" s="769" t="s">
        <v>494</v>
      </c>
      <c r="P443" s="769"/>
      <c r="Q443" s="769" t="s">
        <v>2898</v>
      </c>
      <c r="R443" s="769" t="s">
        <v>2400</v>
      </c>
      <c r="S443" s="770" t="str">
        <f t="shared" si="15"/>
        <v>NO_ERROR</v>
      </c>
    </row>
    <row r="444" spans="1:19" ht="11.25" customHeight="1">
      <c r="A444" s="766" t="s">
        <v>686</v>
      </c>
      <c r="B444" s="767" t="b">
        <f>AND('Список листов'!$B$54,REPORT_OWNER="Версия регулятора")</f>
        <v>0</v>
      </c>
      <c r="C444" s="768" t="e">
        <f>ROUND(#REF!,2)</f>
        <v>#REF!</v>
      </c>
      <c r="D444" s="768" t="e">
        <f>ROUND(SUM(#REF!,#REF!,#REF!),2)</f>
        <v>#REF!</v>
      </c>
      <c r="E444" s="766" t="s">
        <v>2902</v>
      </c>
      <c r="F444" s="766" t="s">
        <v>2400</v>
      </c>
      <c r="G444" s="767" t="b">
        <f t="shared" si="13"/>
        <v>0</v>
      </c>
      <c r="K444" s="769" t="s">
        <v>1001</v>
      </c>
      <c r="L444" s="770" t="str">
        <f t="shared" si="14"/>
        <v>CHECK</v>
      </c>
      <c r="M444" s="771"/>
      <c r="N444" s="772"/>
      <c r="O444" s="769" t="s">
        <v>494</v>
      </c>
      <c r="P444" s="769"/>
      <c r="Q444" s="769" t="s">
        <v>2899</v>
      </c>
      <c r="R444" s="769" t="s">
        <v>2400</v>
      </c>
      <c r="S444" s="770" t="str">
        <f t="shared" si="15"/>
        <v>NO_ERROR</v>
      </c>
    </row>
    <row r="445" spans="1:19" ht="11.25" customHeight="1">
      <c r="A445" s="766" t="s">
        <v>694</v>
      </c>
      <c r="B445" s="767" t="b">
        <f>'Список листов'!$B$54</f>
        <v>1</v>
      </c>
      <c r="C445" s="768" t="e">
        <f>ROUND(#REF!,2)</f>
        <v>#REF!</v>
      </c>
      <c r="D445" s="768" t="e">
        <f>ROUND(SUM(#REF!,#REF!,#REF!),2)</f>
        <v>#REF!</v>
      </c>
      <c r="E445" s="766" t="s">
        <v>2902</v>
      </c>
      <c r="F445" s="766" t="s">
        <v>2400</v>
      </c>
      <c r="G445" s="767" t="b">
        <f t="shared" si="13"/>
        <v>0</v>
      </c>
      <c r="K445" s="769" t="s">
        <v>1003</v>
      </c>
      <c r="L445" s="770" t="str">
        <f t="shared" si="14"/>
        <v>CHECK</v>
      </c>
      <c r="M445" s="771"/>
      <c r="N445" s="772"/>
      <c r="O445" s="769" t="s">
        <v>494</v>
      </c>
      <c r="P445" s="769"/>
      <c r="Q445" s="769" t="s">
        <v>2900</v>
      </c>
      <c r="R445" s="769" t="s">
        <v>2400</v>
      </c>
      <c r="S445" s="770" t="str">
        <f t="shared" si="15"/>
        <v>NO_ERROR</v>
      </c>
    </row>
    <row r="446" spans="1:19" ht="11.25" customHeight="1">
      <c r="A446" s="766" t="s">
        <v>699</v>
      </c>
      <c r="B446" s="767" t="b">
        <f>AND('Список листов'!$B$54,REPORT_OWNER="Версия регулятора")</f>
        <v>0</v>
      </c>
      <c r="C446" s="768" t="e">
        <f>ROUND(#REF!,2)</f>
        <v>#REF!</v>
      </c>
      <c r="D446" s="768" t="e">
        <f>ROUND(SUM(#REF!,#REF!,#REF!),2)</f>
        <v>#REF!</v>
      </c>
      <c r="E446" s="766" t="s">
        <v>2902</v>
      </c>
      <c r="F446" s="766" t="s">
        <v>2400</v>
      </c>
      <c r="G446" s="767" t="b">
        <f t="shared" si="13"/>
        <v>0</v>
      </c>
      <c r="K446" s="769" t="s">
        <v>1005</v>
      </c>
      <c r="L446" s="770" t="str">
        <f t="shared" si="14"/>
        <v>CHECK</v>
      </c>
      <c r="M446" s="771"/>
      <c r="N446" s="772"/>
      <c r="O446" s="769" t="s">
        <v>494</v>
      </c>
      <c r="P446" s="769"/>
      <c r="Q446" s="769" t="s">
        <v>2901</v>
      </c>
      <c r="R446" s="769" t="s">
        <v>2400</v>
      </c>
      <c r="S446" s="770" t="str">
        <f t="shared" si="15"/>
        <v>NO_ERROR</v>
      </c>
    </row>
    <row r="447" spans="1:19" ht="11.25" customHeight="1">
      <c r="A447" s="766" t="s">
        <v>2119</v>
      </c>
      <c r="B447" s="767" t="b">
        <f>'Список листов'!$B$54</f>
        <v>1</v>
      </c>
      <c r="C447" s="768" t="e">
        <f>ROUND(#REF!,2)</f>
        <v>#REF!</v>
      </c>
      <c r="D447" s="768" t="e">
        <f>ROUND(SUM(#REF!,#REF!,#REF!),2)</f>
        <v>#REF!</v>
      </c>
      <c r="E447" s="766" t="s">
        <v>2902</v>
      </c>
      <c r="F447" s="766" t="s">
        <v>2400</v>
      </c>
      <c r="G447" s="767" t="b">
        <f t="shared" ref="G447:G452" si="16">IFERROR(C447=D447,FALSE)</f>
        <v>0</v>
      </c>
      <c r="K447" s="761" t="s">
        <v>665</v>
      </c>
      <c r="L447" s="762" t="str">
        <f t="shared" si="14"/>
        <v>CHECK</v>
      </c>
      <c r="M447" s="763"/>
      <c r="N447" s="764"/>
      <c r="O447" s="761" t="s">
        <v>495</v>
      </c>
      <c r="P447" s="761"/>
      <c r="Q447" s="761" t="s">
        <v>2903</v>
      </c>
      <c r="R447" s="761" t="s">
        <v>2400</v>
      </c>
      <c r="S447" s="762" t="str">
        <f t="shared" ref="S447:S452" si="17">IFERROR(IF(AND(M447=N447,L447="CHECK"),"NO_ERROR","ERROR"),0)</f>
        <v>NO_ERROR</v>
      </c>
    </row>
    <row r="448" spans="1:19" ht="11.25" customHeight="1">
      <c r="A448" s="766" t="s">
        <v>2120</v>
      </c>
      <c r="B448" s="767" t="b">
        <f>AND('Список листов'!$B$54,REPORT_OWNER="Версия регулятора")</f>
        <v>0</v>
      </c>
      <c r="C448" s="768" t="e">
        <f>ROUND(#REF!,2)</f>
        <v>#REF!</v>
      </c>
      <c r="D448" s="768" t="e">
        <f>ROUND(SUM(#REF!,#REF!,#REF!),2)</f>
        <v>#REF!</v>
      </c>
      <c r="E448" s="766" t="s">
        <v>2902</v>
      </c>
      <c r="F448" s="766" t="s">
        <v>2400</v>
      </c>
      <c r="G448" s="767" t="b">
        <f t="shared" si="16"/>
        <v>0</v>
      </c>
      <c r="K448" s="761" t="s">
        <v>679</v>
      </c>
      <c r="L448" s="762" t="str">
        <f t="shared" si="14"/>
        <v>CHECK</v>
      </c>
      <c r="M448" s="763"/>
      <c r="N448" s="764"/>
      <c r="O448" s="761" t="s">
        <v>495</v>
      </c>
      <c r="P448" s="761"/>
      <c r="Q448" s="761" t="s">
        <v>2903</v>
      </c>
      <c r="R448" s="761" t="s">
        <v>2400</v>
      </c>
      <c r="S448" s="762" t="str">
        <f t="shared" si="17"/>
        <v>NO_ERROR</v>
      </c>
    </row>
    <row r="449" spans="1:19" ht="11.25" customHeight="1">
      <c r="A449" s="766" t="s">
        <v>2121</v>
      </c>
      <c r="B449" s="767" t="b">
        <f>'Список листов'!$B$54</f>
        <v>1</v>
      </c>
      <c r="C449" s="768" t="e">
        <f>ROUND(#REF!,2)</f>
        <v>#REF!</v>
      </c>
      <c r="D449" s="768" t="e">
        <f>ROUND(SUM(#REF!,#REF!,#REF!),2)</f>
        <v>#REF!</v>
      </c>
      <c r="E449" s="766" t="s">
        <v>2902</v>
      </c>
      <c r="F449" s="766" t="s">
        <v>2400</v>
      </c>
      <c r="G449" s="767" t="b">
        <f t="shared" si="16"/>
        <v>0</v>
      </c>
      <c r="K449" s="761" t="s">
        <v>683</v>
      </c>
      <c r="L449" s="762" t="str">
        <f t="shared" si="14"/>
        <v>CHECK</v>
      </c>
      <c r="M449" s="763"/>
      <c r="N449" s="764"/>
      <c r="O449" s="761" t="s">
        <v>495</v>
      </c>
      <c r="P449" s="761"/>
      <c r="Q449" s="761" t="s">
        <v>2903</v>
      </c>
      <c r="R449" s="761" t="s">
        <v>2400</v>
      </c>
      <c r="S449" s="762" t="str">
        <f t="shared" si="17"/>
        <v>NO_ERROR</v>
      </c>
    </row>
    <row r="450" spans="1:19" ht="11.25" customHeight="1">
      <c r="A450" s="766" t="s">
        <v>2904</v>
      </c>
      <c r="B450" s="767" t="b">
        <f>AND('Список листов'!$B$54,REPORT_OWNER="Версия регулятора")</f>
        <v>0</v>
      </c>
      <c r="C450" s="768" t="e">
        <f>ROUND(#REF!,2)</f>
        <v>#REF!</v>
      </c>
      <c r="D450" s="768" t="e">
        <f>ROUND(SUM(#REF!,#REF!,#REF!),2)</f>
        <v>#REF!</v>
      </c>
      <c r="E450" s="766" t="s">
        <v>2902</v>
      </c>
      <c r="F450" s="766" t="s">
        <v>2400</v>
      </c>
      <c r="G450" s="767" t="b">
        <f t="shared" si="16"/>
        <v>0</v>
      </c>
      <c r="K450" s="761" t="s">
        <v>686</v>
      </c>
      <c r="L450" s="762" t="str">
        <f t="shared" si="14"/>
        <v>CHECK</v>
      </c>
      <c r="M450" s="763"/>
      <c r="N450" s="764"/>
      <c r="O450" s="761" t="s">
        <v>495</v>
      </c>
      <c r="P450" s="761"/>
      <c r="Q450" s="761" t="s">
        <v>2903</v>
      </c>
      <c r="R450" s="761" t="s">
        <v>2400</v>
      </c>
      <c r="S450" s="762" t="str">
        <f t="shared" si="17"/>
        <v>NO_ERROR</v>
      </c>
    </row>
    <row r="451" spans="1:19" ht="11.25" customHeight="1">
      <c r="A451" s="766" t="s">
        <v>2905</v>
      </c>
      <c r="B451" s="767" t="b">
        <f>'Список листов'!$B$54</f>
        <v>1</v>
      </c>
      <c r="C451" s="768" t="e">
        <f>ROUND(#REF!,2)</f>
        <v>#REF!</v>
      </c>
      <c r="D451" s="768" t="e">
        <f>ROUND(SUM(#REF!,#REF!,#REF!),2)</f>
        <v>#REF!</v>
      </c>
      <c r="E451" s="766" t="s">
        <v>2902</v>
      </c>
      <c r="F451" s="766" t="s">
        <v>2400</v>
      </c>
      <c r="G451" s="767" t="b">
        <f t="shared" si="16"/>
        <v>0</v>
      </c>
      <c r="K451" s="761" t="s">
        <v>694</v>
      </c>
      <c r="L451" s="762" t="str">
        <f t="shared" si="14"/>
        <v>CHECK</v>
      </c>
      <c r="M451" s="763"/>
      <c r="N451" s="764"/>
      <c r="O451" s="761" t="s">
        <v>495</v>
      </c>
      <c r="P451" s="761"/>
      <c r="Q451" s="761" t="s">
        <v>2903</v>
      </c>
      <c r="R451" s="761" t="s">
        <v>2400</v>
      </c>
      <c r="S451" s="762" t="str">
        <f t="shared" si="17"/>
        <v>NO_ERROR</v>
      </c>
    </row>
    <row r="452" spans="1:19" ht="11.25" customHeight="1">
      <c r="A452" s="766" t="s">
        <v>2906</v>
      </c>
      <c r="B452" s="767" t="b">
        <f>AND('Список листов'!$B$54,REPORT_OWNER="Версия регулятора")</f>
        <v>0</v>
      </c>
      <c r="C452" s="768" t="e">
        <f>ROUND(#REF!,2)</f>
        <v>#REF!</v>
      </c>
      <c r="D452" s="768" t="e">
        <f>ROUND(SUM(#REF!,#REF!,#REF!),2)</f>
        <v>#REF!</v>
      </c>
      <c r="E452" s="766" t="s">
        <v>2902</v>
      </c>
      <c r="F452" s="766" t="s">
        <v>2400</v>
      </c>
      <c r="G452" s="767" t="b">
        <f t="shared" si="16"/>
        <v>0</v>
      </c>
      <c r="K452" s="761" t="s">
        <v>699</v>
      </c>
      <c r="L452" s="762" t="str">
        <f t="shared" si="14"/>
        <v>CHECK</v>
      </c>
      <c r="M452" s="763"/>
      <c r="N452" s="764"/>
      <c r="O452" s="761" t="s">
        <v>495</v>
      </c>
      <c r="P452" s="761"/>
      <c r="Q452" s="761" t="s">
        <v>2903</v>
      </c>
      <c r="R452" s="761" t="s">
        <v>2400</v>
      </c>
      <c r="S452" s="762" t="str">
        <f t="shared" si="17"/>
        <v>NO_ERROR</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N15"/>
  <sheetViews>
    <sheetView showGridLines="0" workbookViewId="0"/>
  </sheetViews>
  <sheetFormatPr defaultColWidth="9.140625" defaultRowHeight="11.45" customHeight="1"/>
  <cols>
    <col min="2" max="2" width="21.140625" customWidth="1"/>
    <col min="3" max="3" width="17.7109375" customWidth="1"/>
    <col min="4" max="4" width="15.140625" customWidth="1"/>
    <col min="5" max="5" width="14.5703125" customWidth="1"/>
  </cols>
  <sheetData>
    <row r="1" spans="1:14" ht="11.25" customHeight="1">
      <c r="A1" t="s">
        <v>2907</v>
      </c>
      <c r="B1" t="s">
        <v>2908</v>
      </c>
      <c r="C1" t="s">
        <v>2909</v>
      </c>
      <c r="D1" t="s">
        <v>2910</v>
      </c>
      <c r="E1" t="s">
        <v>2911</v>
      </c>
      <c r="F1" t="s">
        <v>2912</v>
      </c>
      <c r="G1" t="s">
        <v>2913</v>
      </c>
      <c r="H1" t="s">
        <v>2914</v>
      </c>
      <c r="I1" t="s">
        <v>2915</v>
      </c>
      <c r="J1" t="s">
        <v>2916</v>
      </c>
      <c r="K1" t="s">
        <v>2917</v>
      </c>
      <c r="L1" t="s">
        <v>2918</v>
      </c>
      <c r="M1" t="s">
        <v>2919</v>
      </c>
      <c r="N1" t="s">
        <v>2920</v>
      </c>
    </row>
    <row r="2" spans="1:14" ht="11.25" customHeight="1">
      <c r="A2" t="s">
        <v>2921</v>
      </c>
      <c r="B2" t="s">
        <v>29</v>
      </c>
      <c r="C2" t="s">
        <v>2922</v>
      </c>
      <c r="D2" t="s">
        <v>921</v>
      </c>
      <c r="E2" t="s">
        <v>2923</v>
      </c>
      <c r="F2" t="s">
        <v>2924</v>
      </c>
      <c r="G2" t="s">
        <v>2925</v>
      </c>
      <c r="H2" t="s">
        <v>507</v>
      </c>
      <c r="I2" t="s">
        <v>2925</v>
      </c>
      <c r="J2" t="s">
        <v>507</v>
      </c>
      <c r="K2" t="s">
        <v>507</v>
      </c>
      <c r="L2" t="s">
        <v>2926</v>
      </c>
      <c r="M2" t="s">
        <v>2927</v>
      </c>
      <c r="N2" t="s">
        <v>2928</v>
      </c>
    </row>
    <row r="3" spans="1:14" ht="11.25" customHeight="1">
      <c r="A3" t="s">
        <v>2921</v>
      </c>
      <c r="B3" t="s">
        <v>29</v>
      </c>
      <c r="C3" t="s">
        <v>211</v>
      </c>
      <c r="D3" t="s">
        <v>330</v>
      </c>
      <c r="E3" t="s">
        <v>338</v>
      </c>
      <c r="F3" t="s">
        <v>341</v>
      </c>
      <c r="G3" t="s">
        <v>507</v>
      </c>
      <c r="H3" t="s">
        <v>507</v>
      </c>
      <c r="I3" t="s">
        <v>2929</v>
      </c>
      <c r="J3" t="s">
        <v>507</v>
      </c>
      <c r="K3" t="s">
        <v>507</v>
      </c>
      <c r="L3" t="s">
        <v>2930</v>
      </c>
      <c r="M3" t="s">
        <v>2931</v>
      </c>
      <c r="N3" t="s">
        <v>2928</v>
      </c>
    </row>
    <row r="4" spans="1:14" ht="11.25" customHeight="1">
      <c r="A4" t="s">
        <v>2921</v>
      </c>
      <c r="B4" t="s">
        <v>29</v>
      </c>
      <c r="C4" t="s">
        <v>2932</v>
      </c>
      <c r="D4" t="s">
        <v>2933</v>
      </c>
      <c r="E4" t="s">
        <v>2934</v>
      </c>
      <c r="F4" t="s">
        <v>2935</v>
      </c>
      <c r="G4" t="s">
        <v>507</v>
      </c>
      <c r="H4" t="s">
        <v>507</v>
      </c>
      <c r="I4" t="s">
        <v>2936</v>
      </c>
      <c r="J4" t="s">
        <v>507</v>
      </c>
      <c r="K4" t="s">
        <v>507</v>
      </c>
      <c r="L4" t="s">
        <v>2937</v>
      </c>
      <c r="M4" t="s">
        <v>2938</v>
      </c>
      <c r="N4" t="s">
        <v>2928</v>
      </c>
    </row>
    <row r="5" spans="1:14" ht="11.25" customHeight="1">
      <c r="A5" t="s">
        <v>2921</v>
      </c>
      <c r="B5" t="s">
        <v>29</v>
      </c>
      <c r="C5" t="s">
        <v>2939</v>
      </c>
      <c r="D5" t="s">
        <v>2940</v>
      </c>
      <c r="E5" t="s">
        <v>2941</v>
      </c>
      <c r="F5" t="s">
        <v>2942</v>
      </c>
      <c r="G5" t="s">
        <v>2943</v>
      </c>
      <c r="H5" t="s">
        <v>507</v>
      </c>
      <c r="I5" t="s">
        <v>2944</v>
      </c>
      <c r="J5" t="s">
        <v>507</v>
      </c>
      <c r="K5" t="s">
        <v>507</v>
      </c>
      <c r="L5" t="s">
        <v>2945</v>
      </c>
      <c r="M5" t="s">
        <v>2946</v>
      </c>
      <c r="N5" t="s">
        <v>2928</v>
      </c>
    </row>
    <row r="6" spans="1:14" ht="11.25" customHeight="1">
      <c r="A6" t="s">
        <v>2921</v>
      </c>
      <c r="B6" t="s">
        <v>29</v>
      </c>
      <c r="C6" t="s">
        <v>2947</v>
      </c>
      <c r="D6" t="s">
        <v>2948</v>
      </c>
      <c r="E6" t="s">
        <v>2949</v>
      </c>
      <c r="F6" t="s">
        <v>2950</v>
      </c>
      <c r="G6" t="s">
        <v>507</v>
      </c>
      <c r="H6" t="s">
        <v>507</v>
      </c>
      <c r="I6" t="s">
        <v>2951</v>
      </c>
      <c r="J6" t="s">
        <v>507</v>
      </c>
      <c r="K6" t="s">
        <v>507</v>
      </c>
      <c r="L6" t="s">
        <v>2952</v>
      </c>
      <c r="M6" t="s">
        <v>2953</v>
      </c>
      <c r="N6" t="s">
        <v>2928</v>
      </c>
    </row>
    <row r="7" spans="1:14" ht="11.25" customHeight="1">
      <c r="A7" t="s">
        <v>2921</v>
      </c>
      <c r="B7" t="s">
        <v>29</v>
      </c>
      <c r="C7" t="s">
        <v>2947</v>
      </c>
      <c r="D7" t="s">
        <v>2948</v>
      </c>
      <c r="E7" t="s">
        <v>2949</v>
      </c>
      <c r="F7" t="s">
        <v>2950</v>
      </c>
      <c r="G7" t="s">
        <v>507</v>
      </c>
      <c r="H7" t="s">
        <v>507</v>
      </c>
      <c r="I7" t="s">
        <v>2954</v>
      </c>
      <c r="J7" t="s">
        <v>507</v>
      </c>
      <c r="K7" t="s">
        <v>507</v>
      </c>
      <c r="L7" t="s">
        <v>2952</v>
      </c>
      <c r="M7" t="s">
        <v>2953</v>
      </c>
      <c r="N7" t="s">
        <v>2928</v>
      </c>
    </row>
    <row r="8" spans="1:14" ht="11.25" customHeight="1">
      <c r="A8" t="s">
        <v>2921</v>
      </c>
      <c r="B8" t="s">
        <v>29</v>
      </c>
      <c r="C8" t="s">
        <v>2955</v>
      </c>
      <c r="D8" t="s">
        <v>2956</v>
      </c>
      <c r="E8" t="s">
        <v>2957</v>
      </c>
      <c r="F8" t="s">
        <v>2958</v>
      </c>
      <c r="G8" t="s">
        <v>2959</v>
      </c>
      <c r="H8" t="s">
        <v>507</v>
      </c>
      <c r="I8" t="s">
        <v>2960</v>
      </c>
      <c r="J8" t="s">
        <v>507</v>
      </c>
      <c r="K8" t="s">
        <v>507</v>
      </c>
      <c r="L8" t="s">
        <v>2961</v>
      </c>
      <c r="M8" t="s">
        <v>2962</v>
      </c>
      <c r="N8" t="s">
        <v>2928</v>
      </c>
    </row>
    <row r="9" spans="1:14" ht="11.25" customHeight="1">
      <c r="A9" t="s">
        <v>2921</v>
      </c>
      <c r="B9" t="s">
        <v>29</v>
      </c>
      <c r="C9" t="s">
        <v>2963</v>
      </c>
      <c r="D9" t="s">
        <v>2964</v>
      </c>
      <c r="E9" t="s">
        <v>2965</v>
      </c>
      <c r="F9" t="s">
        <v>2966</v>
      </c>
      <c r="G9" t="s">
        <v>507</v>
      </c>
      <c r="H9" t="s">
        <v>507</v>
      </c>
      <c r="I9" t="s">
        <v>2967</v>
      </c>
      <c r="J9" t="s">
        <v>507</v>
      </c>
      <c r="K9" t="s">
        <v>507</v>
      </c>
      <c r="L9" t="s">
        <v>2961</v>
      </c>
      <c r="M9" t="s">
        <v>2962</v>
      </c>
      <c r="N9" t="s">
        <v>2928</v>
      </c>
    </row>
    <row r="10" spans="1:14" ht="11.25" customHeight="1">
      <c r="A10" t="s">
        <v>2921</v>
      </c>
      <c r="B10" t="s">
        <v>29</v>
      </c>
      <c r="C10" t="s">
        <v>2968</v>
      </c>
      <c r="D10" t="s">
        <v>2969</v>
      </c>
      <c r="E10" t="s">
        <v>2970</v>
      </c>
      <c r="F10" t="s">
        <v>341</v>
      </c>
      <c r="G10" t="s">
        <v>2971</v>
      </c>
      <c r="H10" t="s">
        <v>507</v>
      </c>
      <c r="I10" t="s">
        <v>2972</v>
      </c>
      <c r="J10" t="s">
        <v>507</v>
      </c>
      <c r="K10" t="s">
        <v>507</v>
      </c>
      <c r="L10" t="s">
        <v>2973</v>
      </c>
      <c r="M10" t="s">
        <v>2974</v>
      </c>
      <c r="N10" t="s">
        <v>2928</v>
      </c>
    </row>
    <row r="11" spans="1:14" ht="11.25" customHeight="1">
      <c r="A11" t="s">
        <v>2921</v>
      </c>
      <c r="B11" t="s">
        <v>29</v>
      </c>
      <c r="C11" t="s">
        <v>2968</v>
      </c>
      <c r="D11" t="s">
        <v>2969</v>
      </c>
      <c r="E11" t="s">
        <v>2970</v>
      </c>
      <c r="F11" t="s">
        <v>341</v>
      </c>
      <c r="G11" t="s">
        <v>2971</v>
      </c>
      <c r="H11" t="s">
        <v>507</v>
      </c>
      <c r="I11" t="s">
        <v>2975</v>
      </c>
      <c r="J11" t="s">
        <v>507</v>
      </c>
      <c r="K11" t="s">
        <v>507</v>
      </c>
      <c r="L11" t="s">
        <v>2945</v>
      </c>
      <c r="M11" t="s">
        <v>2946</v>
      </c>
      <c r="N11" t="s">
        <v>2928</v>
      </c>
    </row>
    <row r="12" spans="1:14" ht="11.25" customHeight="1">
      <c r="A12" t="s">
        <v>2921</v>
      </c>
      <c r="B12" t="s">
        <v>29</v>
      </c>
      <c r="C12" t="s">
        <v>2976</v>
      </c>
      <c r="D12" t="s">
        <v>2977</v>
      </c>
      <c r="E12" t="s">
        <v>2978</v>
      </c>
      <c r="F12" t="s">
        <v>341</v>
      </c>
      <c r="G12" t="s">
        <v>2979</v>
      </c>
      <c r="H12" t="s">
        <v>507</v>
      </c>
      <c r="I12" t="s">
        <v>2980</v>
      </c>
      <c r="J12" t="s">
        <v>507</v>
      </c>
      <c r="K12" t="s">
        <v>507</v>
      </c>
      <c r="L12" t="s">
        <v>2981</v>
      </c>
      <c r="M12" t="s">
        <v>2982</v>
      </c>
      <c r="N12" t="s">
        <v>2928</v>
      </c>
    </row>
    <row r="13" spans="1:14" ht="11.25" customHeight="1">
      <c r="A13" t="s">
        <v>2921</v>
      </c>
      <c r="B13" t="s">
        <v>29</v>
      </c>
      <c r="C13" t="s">
        <v>2983</v>
      </c>
      <c r="D13" t="s">
        <v>2984</v>
      </c>
      <c r="E13" t="s">
        <v>2985</v>
      </c>
      <c r="F13" t="s">
        <v>2986</v>
      </c>
      <c r="G13" t="s">
        <v>507</v>
      </c>
      <c r="H13" t="s">
        <v>507</v>
      </c>
      <c r="I13" t="s">
        <v>2987</v>
      </c>
      <c r="J13" t="s">
        <v>507</v>
      </c>
      <c r="K13" t="s">
        <v>507</v>
      </c>
      <c r="L13" t="s">
        <v>2937</v>
      </c>
      <c r="M13" t="s">
        <v>2938</v>
      </c>
      <c r="N13" t="s">
        <v>2928</v>
      </c>
    </row>
    <row r="14" spans="1:14" ht="11.25" customHeight="1">
      <c r="A14" t="s">
        <v>2921</v>
      </c>
      <c r="B14" t="s">
        <v>29</v>
      </c>
      <c r="C14" t="s">
        <v>2988</v>
      </c>
      <c r="D14" t="s">
        <v>2989</v>
      </c>
      <c r="E14" t="s">
        <v>2990</v>
      </c>
      <c r="F14" t="s">
        <v>2991</v>
      </c>
      <c r="G14" t="s">
        <v>507</v>
      </c>
      <c r="H14" t="s">
        <v>507</v>
      </c>
      <c r="I14" t="s">
        <v>2987</v>
      </c>
      <c r="J14" t="s">
        <v>507</v>
      </c>
      <c r="K14" t="s">
        <v>507</v>
      </c>
      <c r="L14" t="s">
        <v>2937</v>
      </c>
      <c r="M14" t="s">
        <v>2938</v>
      </c>
      <c r="N14" t="s">
        <v>2928</v>
      </c>
    </row>
    <row r="15" spans="1:14" ht="11.25" customHeight="1">
      <c r="A15" t="s">
        <v>2921</v>
      </c>
      <c r="B15" t="s">
        <v>29</v>
      </c>
      <c r="C15" t="s">
        <v>366</v>
      </c>
      <c r="D15" t="s">
        <v>363</v>
      </c>
      <c r="E15" t="s">
        <v>369</v>
      </c>
      <c r="F15" t="s">
        <v>372</v>
      </c>
      <c r="G15" t="s">
        <v>507</v>
      </c>
      <c r="H15" t="s">
        <v>507</v>
      </c>
      <c r="I15" t="s">
        <v>2992</v>
      </c>
      <c r="J15" t="s">
        <v>507</v>
      </c>
      <c r="K15" t="s">
        <v>507</v>
      </c>
      <c r="L15" t="s">
        <v>2930</v>
      </c>
      <c r="M15" t="s">
        <v>2931</v>
      </c>
      <c r="N15" t="s">
        <v>2928</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L2"/>
  <sheetViews>
    <sheetView showGridLines="0" workbookViewId="0"/>
  </sheetViews>
  <sheetFormatPr defaultColWidth="9.140625" defaultRowHeight="11.45" customHeight="1"/>
  <cols>
    <col min="1" max="12" width="20.85546875" customWidth="1"/>
  </cols>
  <sheetData>
    <row r="1" spans="1:12" ht="11.25" customHeight="1">
      <c r="A1" s="628" t="s">
        <v>2993</v>
      </c>
      <c r="B1" s="628" t="s">
        <v>2994</v>
      </c>
      <c r="C1" s="628" t="s">
        <v>2995</v>
      </c>
      <c r="D1" s="628" t="s">
        <v>2996</v>
      </c>
      <c r="E1" s="628" t="s">
        <v>2997</v>
      </c>
      <c r="F1" s="628" t="s">
        <v>2998</v>
      </c>
      <c r="G1" s="628" t="s">
        <v>2999</v>
      </c>
      <c r="H1" s="628" t="s">
        <v>3000</v>
      </c>
      <c r="I1" s="628" t="s">
        <v>3001</v>
      </c>
      <c r="J1" s="628" t="s">
        <v>3002</v>
      </c>
      <c r="K1" s="628" t="s">
        <v>3003</v>
      </c>
      <c r="L1" s="628" t="s">
        <v>3004</v>
      </c>
    </row>
    <row r="2" spans="1:12" ht="11.25" customHeight="1">
      <c r="A2" s="628" t="s">
        <v>3005</v>
      </c>
      <c r="B2" s="628" t="s">
        <v>2428</v>
      </c>
      <c r="C2" s="628" t="s">
        <v>3006</v>
      </c>
      <c r="D2" s="628" t="s">
        <v>2442</v>
      </c>
      <c r="E2" s="628" t="s">
        <v>3007</v>
      </c>
      <c r="F2" s="628" t="s">
        <v>3008</v>
      </c>
      <c r="G2" s="628" t="s">
        <v>536</v>
      </c>
      <c r="H2" s="628" t="s">
        <v>3009</v>
      </c>
      <c r="I2" s="628" t="s">
        <v>1962</v>
      </c>
      <c r="J2" s="628" t="s">
        <v>3010</v>
      </c>
      <c r="K2" s="628" t="s">
        <v>1285</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
  <sheetViews>
    <sheetView showGridLines="0" workbookViewId="0"/>
  </sheetViews>
  <sheetFormatPr defaultColWidth="9.140625" defaultRowHeight="12.4" customHeight="1"/>
  <sheetData>
    <row r="1" spans="1:2" ht="12.75" customHeight="1">
      <c r="A1" s="773" t="s">
        <v>3011</v>
      </c>
      <c r="B1" s="773" t="s">
        <v>3012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215</vt:i4>
      </vt:variant>
    </vt:vector>
  </HeadingPairs>
  <TitlesOfParts>
    <vt:vector size="242" baseType="lpstr">
      <vt:lpstr>Информация</vt:lpstr>
      <vt:lpstr>Настройка</vt:lpstr>
      <vt:lpstr>TEHSHEET</vt:lpstr>
      <vt:lpstr>Титульный</vt:lpstr>
      <vt:lpstr>Список листов</vt:lpstr>
      <vt:lpstr>История изменений ВО</vt:lpstr>
      <vt:lpstr>Данные регулятора</vt:lpstr>
      <vt:lpstr>Форма раскрытия информации</vt:lpstr>
      <vt:lpstr>Регионы для 5 прил</vt:lpstr>
      <vt:lpstr>баз. ур. подк. расх.</vt:lpstr>
      <vt:lpstr>Расчет НВВ_6.42</vt:lpstr>
      <vt:lpstr>Расчет НВВ_74</vt:lpstr>
      <vt:lpstr>ЭЗ ДПР c уч.421</vt:lpstr>
      <vt:lpstr>ЭЗ ДПР кор</vt:lpstr>
      <vt:lpstr>ЭЗ ДПР c уч.421 ДЕМО</vt:lpstr>
      <vt:lpstr>ЭЗ ДПР кор ДЕМО</vt:lpstr>
      <vt:lpstr>ФОТ норматив скрыть </vt:lpstr>
      <vt:lpstr>tech</vt:lpstr>
      <vt:lpstr>прил 1_215-Э</vt:lpstr>
      <vt:lpstr>прил 3_215-Э</vt:lpstr>
      <vt:lpstr>НВВ РСК</vt:lpstr>
      <vt:lpstr>PEREDACHA.XX.FACT.EXPENSES</vt:lpstr>
      <vt:lpstr>PEREDACHA.M.ХХ Индекс</vt:lpstr>
      <vt:lpstr>Check</vt:lpstr>
      <vt:lpstr>REESTR_ORG</vt:lpstr>
      <vt:lpstr>PATTERN_COSTS</vt:lpstr>
      <vt:lpstr>ATTACH_DOC</vt:lpstr>
      <vt:lpstr>ADD_1_wsDataReg</vt:lpstr>
      <vt:lpstr>ADD_1_wsPril1215E</vt:lpstr>
      <vt:lpstr>ADD_1_wsPril3215E</vt:lpstr>
      <vt:lpstr>ADD_2_wsDataReg</vt:lpstr>
      <vt:lpstr>ADD_2_wsPril1215E</vt:lpstr>
      <vt:lpstr>ADD_2_wsPril3215E</vt:lpstr>
      <vt:lpstr>ADD_3_wsPril1215E</vt:lpstr>
      <vt:lpstr>ADD_3_wsPril3215E</vt:lpstr>
      <vt:lpstr>ADD_4_wsPril1215E</vt:lpstr>
      <vt:lpstr>ADD_4_wsPril3215E</vt:lpstr>
      <vt:lpstr>ADD_5_wsPril1215E</vt:lpstr>
      <vt:lpstr>ADD_5_wsPril3215E</vt:lpstr>
      <vt:lpstr>ADD_6_wsPril1215E</vt:lpstr>
      <vt:lpstr>ADD_6_wsPril3215E</vt:lpstr>
      <vt:lpstr>ADD_7_wsPril1215E</vt:lpstr>
      <vt:lpstr>BACE</vt:lpstr>
      <vt:lpstr>BASIS_INSTALL</vt:lpstr>
      <vt:lpstr>ChangeStore</vt:lpstr>
      <vt:lpstr>CONNECT</vt:lpstr>
      <vt:lpstr>doc_list</vt:lpstr>
      <vt:lpstr>END_LICENSE</vt:lpstr>
      <vt:lpstr>EZ_DPR</vt:lpstr>
      <vt:lpstr>EZ_DRP_corr_KOTEL_TYPE</vt:lpstr>
      <vt:lpstr>EZ_DRP_ROWS</vt:lpstr>
      <vt:lpstr>FIRST_PERIOD_IN_LT</vt:lpstr>
      <vt:lpstr>flag_end_wsBaseCtrl</vt:lpstr>
      <vt:lpstr>flag_end_wsCalcNVV642</vt:lpstr>
      <vt:lpstr>flag_end_wsCalcNVV74</vt:lpstr>
      <vt:lpstr>flag_end_wsDataReg</vt:lpstr>
      <vt:lpstr>flag_end_wsEZDPR421</vt:lpstr>
      <vt:lpstr>flag_end_wsEZDPR421Demo</vt:lpstr>
      <vt:lpstr>flag_end_wsEZDPRCorr</vt:lpstr>
      <vt:lpstr>flag_end_wsEZDPRCorrDemo</vt:lpstr>
      <vt:lpstr>flag_end_wsHistoryChanges</vt:lpstr>
      <vt:lpstr>flag_end_wsList</vt:lpstr>
      <vt:lpstr>flag_end_wsNVVRSK</vt:lpstr>
      <vt:lpstr>flag_end_wsOpenInfo</vt:lpstr>
      <vt:lpstr>flag_end_wsOptions</vt:lpstr>
      <vt:lpstr>flag_end_wsPril1215E</vt:lpstr>
      <vt:lpstr>flag_end_wsPril3215E</vt:lpstr>
      <vt:lpstr>flag_end_wsTitle</vt:lpstr>
      <vt:lpstr>flag_end_wsTransferExp_F</vt:lpstr>
      <vt:lpstr>flag_end_wsTransferM_Index</vt:lpstr>
      <vt:lpstr>flag_start_wsBaseCtrl</vt:lpstr>
      <vt:lpstr>flag_start_wsCalcNVV642</vt:lpstr>
      <vt:lpstr>flag_start_wsCalcNVV74</vt:lpstr>
      <vt:lpstr>flag_start_wsDataReg</vt:lpstr>
      <vt:lpstr>flag_start_wsEZDPR421</vt:lpstr>
      <vt:lpstr>flag_start_wsEZDPR421Demo</vt:lpstr>
      <vt:lpstr>flag_start_wsEZDPRCorr</vt:lpstr>
      <vt:lpstr>flag_start_wsEZDPRCorrDemo</vt:lpstr>
      <vt:lpstr>flag_start_wsHistoryChanges</vt:lpstr>
      <vt:lpstr>flag_start_wsList</vt:lpstr>
      <vt:lpstr>flag_start_wsNVVRSK</vt:lpstr>
      <vt:lpstr>flag_start_wsOpenInfo</vt:lpstr>
      <vt:lpstr>flag_start_wsOptions</vt:lpstr>
      <vt:lpstr>flag_start_wsPril1215E</vt:lpstr>
      <vt:lpstr>flag_start_wsPril3215E</vt:lpstr>
      <vt:lpstr>flag_start_wsTitle</vt:lpstr>
      <vt:lpstr>flag_start_wsTransferExp_F</vt:lpstr>
      <vt:lpstr>flag_start_wsTransferM_Index</vt:lpstr>
      <vt:lpstr>GOD_BAZUR</vt:lpstr>
      <vt:lpstr>GOD_BAZUR_PERIODS</vt:lpstr>
      <vt:lpstr>GRID_check</vt:lpstr>
      <vt:lpstr>GRID_check_VR</vt:lpstr>
      <vt:lpstr>GRID_keyTS</vt:lpstr>
      <vt:lpstr>GRID_org</vt:lpstr>
      <vt:lpstr>GRID_signTS</vt:lpstr>
      <vt:lpstr>GROUP_AMORT</vt:lpstr>
      <vt:lpstr>INFORMATION_TO_LIST</vt:lpstr>
      <vt:lpstr>INN</vt:lpstr>
      <vt:lpstr>INN_DOP</vt:lpstr>
      <vt:lpstr>InsB_wsHistoryChanges_1</vt:lpstr>
      <vt:lpstr>INSTALL_METHOD</vt:lpstr>
      <vt:lpstr>INSTRUCTION</vt:lpstr>
      <vt:lpstr>KOL_CEPEY</vt:lpstr>
      <vt:lpstr>KOL_KAB</vt:lpstr>
      <vt:lpstr>KOL_TR</vt:lpstr>
      <vt:lpstr>KOL_YACHEEK</vt:lpstr>
      <vt:lpstr>KPP</vt:lpstr>
      <vt:lpstr>KPP_DOP</vt:lpstr>
      <vt:lpstr>LEVEL_VOLTAGE</vt:lpstr>
      <vt:lpstr>LINK_DOC_MASK</vt:lpstr>
      <vt:lpstr>LIST_SOB</vt:lpstr>
      <vt:lpstr>LOAD_1_wsBaseCtrl</vt:lpstr>
      <vt:lpstr>LOAD_1_wsCalcNVV642</vt:lpstr>
      <vt:lpstr>LOAD_1_wsCalcNVV74</vt:lpstr>
      <vt:lpstr>LOAD_1_wsDataReg</vt:lpstr>
      <vt:lpstr>LOAD_1_wsNVVRSK</vt:lpstr>
      <vt:lpstr>LOAD_1_wsOpenInfo</vt:lpstr>
      <vt:lpstr>LOAD_1_wsPril1215E</vt:lpstr>
      <vt:lpstr>LOAD_1_wsPril3215E</vt:lpstr>
      <vt:lpstr>LOAD_1_wsTitle</vt:lpstr>
      <vt:lpstr>LOAD_1_wsTransferExp_F</vt:lpstr>
      <vt:lpstr>LOAD_1_wsTransferM_Index</vt:lpstr>
      <vt:lpstr>LOAD_2_wsOpenInfo</vt:lpstr>
      <vt:lpstr>LOAD_2_wsPril1215E</vt:lpstr>
      <vt:lpstr>LOAD_2_wsPril3215E</vt:lpstr>
      <vt:lpstr>LOAD_3_wsOpenInfo</vt:lpstr>
      <vt:lpstr>logic</vt:lpstr>
      <vt:lpstr>METOD_RASCHETA_TARIFA</vt:lpstr>
      <vt:lpstr>MONTH_LIST</vt:lpstr>
      <vt:lpstr>napr_tr_C6</vt:lpstr>
      <vt:lpstr>napr_tr_C7</vt:lpstr>
      <vt:lpstr>napr_tr_C8</vt:lpstr>
      <vt:lpstr>ONLYORG_check</vt:lpstr>
      <vt:lpstr>ONLYORG_LGL_ID</vt:lpstr>
      <vt:lpstr>OPF</vt:lpstr>
      <vt:lpstr>Opts_template_region</vt:lpstr>
      <vt:lpstr>ORG</vt:lpstr>
      <vt:lpstr>ORG_DOP</vt:lpstr>
      <vt:lpstr>ORG_ID</vt:lpstr>
      <vt:lpstr>ORG_ID_DOP</vt:lpstr>
      <vt:lpstr>OWNERSHIP_LIST</vt:lpstr>
      <vt:lpstr>PATTERNS_COSTS</vt:lpstr>
      <vt:lpstr>PERIOD_IN_LT</vt:lpstr>
      <vt:lpstr>PERIOD_LENGTH</vt:lpstr>
      <vt:lpstr>POSSIBLE_PERIOD_FIX</vt:lpstr>
      <vt:lpstr>POSSIBLE_PERIOD_LENGTH</vt:lpstr>
      <vt:lpstr>POSSIBLE_PERIOD_LENGTH_10</vt:lpstr>
      <vt:lpstr>POSSIBLE_PERIODS_1</vt:lpstr>
      <vt:lpstr>POSSIBLE_PERIODS_3</vt:lpstr>
      <vt:lpstr>POSSIBLE_PERIODS_4</vt:lpstr>
      <vt:lpstr>POSSIBLE_PERIODS_5</vt:lpstr>
      <vt:lpstr>POSSIBLE_PERIODS_6</vt:lpstr>
      <vt:lpstr>POSSIBLE_PERIODS_7</vt:lpstr>
      <vt:lpstr>PRD</vt:lpstr>
      <vt:lpstr>PRELOAD_check</vt:lpstr>
      <vt:lpstr>PRELOAD_LGL_ID</vt:lpstr>
      <vt:lpstr>PRELOAD_org</vt:lpstr>
      <vt:lpstr>PRIMARY_ACTIVITY</vt:lpstr>
      <vt:lpstr>PROVOD</vt:lpstr>
      <vt:lpstr>REGION_NAME</vt:lpstr>
      <vt:lpstr>REGION_TARIFF_LIST</vt:lpstr>
      <vt:lpstr>REGION_TARIFF_LIST_FLAGS</vt:lpstr>
      <vt:lpstr>REGIONS</vt:lpstr>
      <vt:lpstr>REGULATION_METHODS</vt:lpstr>
      <vt:lpstr>REPORT_OWNER</vt:lpstr>
      <vt:lpstr>SECHENIE_PROVOD</vt:lpstr>
      <vt:lpstr>SECHENIE_PROVOD_KL</vt:lpstr>
      <vt:lpstr>SETTINGS_CALC_METHOD</vt:lpstr>
      <vt:lpstr>SETTINGS_CALC_METHOD_4_47</vt:lpstr>
      <vt:lpstr>SOURCE_DEVICE</vt:lpstr>
      <vt:lpstr>SPOSOB_PROKLADKI</vt:lpstr>
      <vt:lpstr>STATUS_CONTRACT</vt:lpstr>
      <vt:lpstr>STATUS_CONTRACT_REESTR</vt:lpstr>
      <vt:lpstr>TARIFF_SEND</vt:lpstr>
      <vt:lpstr>tblEnd_1_wsBaseCtrl</vt:lpstr>
      <vt:lpstr>tblEnd_1_wsCalcNVV642</vt:lpstr>
      <vt:lpstr>tblEnd_1_wsCalcNVV74</vt:lpstr>
      <vt:lpstr>tblEnd_1_wsDataReg</vt:lpstr>
      <vt:lpstr>tblEnd_1_wsNVVRSK</vt:lpstr>
      <vt:lpstr>tblEnd_1_wsOpenInfo</vt:lpstr>
      <vt:lpstr>tblEnd_1_wsPril1215E</vt:lpstr>
      <vt:lpstr>tblEnd_1_wsPril3215E</vt:lpstr>
      <vt:lpstr>tblEnd_1_wsTitle</vt:lpstr>
      <vt:lpstr>tblEnd_1_wsTransferExp_F</vt:lpstr>
      <vt:lpstr>tblEnd_1_wsTransferM_Index</vt:lpstr>
      <vt:lpstr>tblEnd_2_wsOpenInfo</vt:lpstr>
      <vt:lpstr>tblEnd_2_wsPril1215E</vt:lpstr>
      <vt:lpstr>tblEnd_2_wsPril3215E</vt:lpstr>
      <vt:lpstr>tblEnd_3_wsOpenInfo</vt:lpstr>
      <vt:lpstr>tblHead_1_wsTitle</vt:lpstr>
      <vt:lpstr>tblStart_1_wsBaseCtrl</vt:lpstr>
      <vt:lpstr>tblStart_1_wsCalcNVV642</vt:lpstr>
      <vt:lpstr>tblStart_1_wsCalcNVV74</vt:lpstr>
      <vt:lpstr>tblStart_1_wsDataReg</vt:lpstr>
      <vt:lpstr>tblStart_1_wsNVVRSK</vt:lpstr>
      <vt:lpstr>tblStart_1_wsOpenInfo</vt:lpstr>
      <vt:lpstr>tblStart_1_wsPril1215E</vt:lpstr>
      <vt:lpstr>tblStart_1_wsPril3215E</vt:lpstr>
      <vt:lpstr>tblStart_1_wsTitle</vt:lpstr>
      <vt:lpstr>tblStart_1_wsTransferExp_F</vt:lpstr>
      <vt:lpstr>tblStart_1_wsTransferM_Index</vt:lpstr>
      <vt:lpstr>tblStart_2_wsOpenInfo</vt:lpstr>
      <vt:lpstr>tblStart_2_wsPril1215E</vt:lpstr>
      <vt:lpstr>tblStart_2_wsPril3215E</vt:lpstr>
      <vt:lpstr>tblStart_3_wsOpenInfo</vt:lpstr>
      <vt:lpstr>TemplateState</vt:lpstr>
      <vt:lpstr>TIT_VERSION</vt:lpstr>
      <vt:lpstr>TITLE_CONTACTS_DATA</vt:lpstr>
      <vt:lpstr>titleLock_1</vt:lpstr>
      <vt:lpstr>TOK</vt:lpstr>
      <vt:lpstr>tr_power_С6</vt:lpstr>
      <vt:lpstr>tr_power_С7</vt:lpstr>
      <vt:lpstr>tr_power_С8</vt:lpstr>
      <vt:lpstr>TYPE_CUSTOMERS</vt:lpstr>
      <vt:lpstr>TYPE_DEVICE</vt:lpstr>
      <vt:lpstr>TYPE_DOC_RENT</vt:lpstr>
      <vt:lpstr>TYPE_DOC_RENT2</vt:lpstr>
      <vt:lpstr>TYPE_IZOL</vt:lpstr>
      <vt:lpstr>TYPE_KOTEL</vt:lpstr>
      <vt:lpstr>TYPE_OBJECT</vt:lpstr>
      <vt:lpstr>TYPE_OBOR</vt:lpstr>
      <vt:lpstr>TYPE_OPOR</vt:lpstr>
      <vt:lpstr>TYPE_PROVOD_KL</vt:lpstr>
      <vt:lpstr>TYPE_PROVODA</vt:lpstr>
      <vt:lpstr>TYPE_RENT</vt:lpstr>
      <vt:lpstr>TYPE_RENT_DOG</vt:lpstr>
      <vt:lpstr>TYPE_С6</vt:lpstr>
      <vt:lpstr>TYPE_С7</vt:lpstr>
      <vt:lpstr>TYPE_С8.1</vt:lpstr>
      <vt:lpstr>TYPE2_С8.1</vt:lpstr>
      <vt:lpstr>VD_LIST</vt:lpstr>
      <vt:lpstr>wsHistoryChanges_add_Block_1</vt:lpstr>
      <vt:lpstr>wsHistoryChanges_add_row_1</vt:lpstr>
      <vt:lpstr>wsHistoryChanges_add_Sheet_1</vt:lpstr>
      <vt:lpstr>wsHistoryChanges_Blocks</vt:lpstr>
      <vt:lpstr>wsHistoryChanges_Cells</vt:lpstr>
      <vt:lpstr>wsHistoryChanges_Different</vt:lpstr>
      <vt:lpstr>wsHistoryChanges_NewValue</vt:lpstr>
      <vt:lpstr>wsHistoryChanges_OldValue</vt:lpstr>
      <vt:lpstr>wsHistoryChanges_Sheets</vt:lpstr>
      <vt:lpstr>YEAR</vt:lpstr>
      <vt:lpstr>YES_NO</vt:lpstr>
    </vt:vector>
  </TitlesOfParts>
  <Company>РОИВ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Расчет плановой необходимой валовой выручки от оказания услуг по передаче электрической энергии для территориальных сетевых организаций</dc:title>
  <dc:subject>Расчет плановой необходимой валовой выручки от оказания услуг по передаче электрической энергии для территориальных сетевых организаций</dc:subject>
  <dc:creator>-</dc:creator>
  <cp:lastModifiedBy>Сергей Анатольевич</cp:lastModifiedBy>
  <cp:lastPrinted>2023-02-15T12:58:29Z</cp:lastPrinted>
  <dcterms:created xsi:type="dcterms:W3CDTF">2004-05-21T07:18:45Z</dcterms:created>
  <dcterms:modified xsi:type="dcterms:W3CDTF">2025-04-28T08:11:12Z</dcterms:modified>
</cp:coreProperties>
</file>